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mac\Documents\!CPE\SW\Pathloss-incl-EME_DF9CY\"/>
    </mc:Choice>
  </mc:AlternateContent>
  <bookViews>
    <workbookView xWindow="120" yWindow="105" windowWidth="15075" windowHeight="12930"/>
  </bookViews>
  <sheets>
    <sheet name="DF9CY Moonbouce PL" sheetId="2" r:id="rId1"/>
  </sheets>
  <calcPr calcId="162913"/>
  <customWorkbookViews>
    <customWorkbookView name="FSPL" guid="{209C2144-7460-4073-9756-C9E8CE15B130}" includePrintSettings="0" includeHiddenRowCol="0" maximized="1" xWindow="1912" yWindow="-8" windowWidth="1936" windowHeight="1096" activeSheetId="2"/>
  </customWorkbookViews>
</workbook>
</file>

<file path=xl/calcChain.xml><?xml version="1.0" encoding="utf-8"?>
<calcChain xmlns="http://schemas.openxmlformats.org/spreadsheetml/2006/main">
  <c r="D107" i="2" l="1"/>
  <c r="K10" i="2" l="1"/>
  <c r="K11" i="2"/>
  <c r="K13" i="2" s="1"/>
  <c r="K15" i="2" s="1"/>
  <c r="D140" i="2" l="1"/>
  <c r="D110" i="2"/>
  <c r="K8" i="2" l="1"/>
  <c r="K9" i="2" l="1"/>
  <c r="K14" i="2"/>
  <c r="D60" i="2"/>
  <c r="D58" i="2"/>
  <c r="D46" i="2"/>
  <c r="D111" i="2"/>
  <c r="D125" i="2" l="1"/>
  <c r="D29" i="2" l="1"/>
  <c r="D30" i="2" s="1"/>
  <c r="D40" i="2"/>
  <c r="D37" i="2"/>
  <c r="D63" i="2" l="1"/>
  <c r="D35" i="2"/>
  <c r="D22" i="2"/>
  <c r="D69" i="2" l="1"/>
  <c r="D105" i="2" l="1"/>
  <c r="D118" i="2" s="1"/>
  <c r="D103" i="2"/>
  <c r="D102" i="2"/>
  <c r="D101" i="2"/>
  <c r="D116" i="2" l="1"/>
  <c r="D31" i="2" l="1"/>
  <c r="D61" i="2" l="1"/>
  <c r="D59" i="2"/>
  <c r="D64" i="2" l="1"/>
  <c r="D65" i="2" s="1"/>
  <c r="D41" i="2"/>
  <c r="D38" i="2" l="1"/>
  <c r="D43" i="2" l="1"/>
  <c r="D48" i="2"/>
  <c r="D49" i="2" s="1"/>
  <c r="D51" i="2" s="1"/>
  <c r="D52" i="2" l="1"/>
  <c r="D120" i="2" s="1"/>
  <c r="D121" i="2" s="1"/>
  <c r="D122" i="2" s="1"/>
  <c r="D124" i="2" s="1"/>
  <c r="D126" i="2" s="1"/>
  <c r="F126" i="2" s="1"/>
  <c r="D54" i="2"/>
  <c r="D55" i="2" s="1"/>
  <c r="D67" i="2" l="1"/>
  <c r="D73" i="2" s="1"/>
  <c r="D77" i="2" s="1"/>
  <c r="D80" i="2" s="1"/>
  <c r="D81" i="2" s="1"/>
  <c r="D100" i="2"/>
  <c r="D78" i="2" l="1"/>
  <c r="D79" i="2" s="1"/>
</calcChain>
</file>

<file path=xl/sharedStrings.xml><?xml version="1.0" encoding="utf-8"?>
<sst xmlns="http://schemas.openxmlformats.org/spreadsheetml/2006/main" count="294" uniqueCount="205">
  <si>
    <t>Signal to Noise Ratio / Sensitivity Limit</t>
  </si>
  <si>
    <t>Hz</t>
  </si>
  <si>
    <t>J/K</t>
  </si>
  <si>
    <t>K</t>
  </si>
  <si>
    <t>dBm</t>
  </si>
  <si>
    <t>SNR [dB]</t>
  </si>
  <si>
    <t>dB</t>
  </si>
  <si>
    <t>Losses prior to LNA</t>
  </si>
  <si>
    <t>Losses in Noise Temperature</t>
  </si>
  <si>
    <t>Noise Power [dBm]@T_sys</t>
  </si>
  <si>
    <t>Sensitivity [dBm]@T_sys</t>
  </si>
  <si>
    <t>Transmit antenna gain</t>
  </si>
  <si>
    <t>dBi</t>
  </si>
  <si>
    <t>Receive antenna gain</t>
  </si>
  <si>
    <t>Transmit power</t>
  </si>
  <si>
    <t>equal to</t>
  </si>
  <si>
    <t>dBW</t>
  </si>
  <si>
    <t>Watt</t>
  </si>
  <si>
    <t>Receive Sensitivity</t>
  </si>
  <si>
    <t>Frequency</t>
  </si>
  <si>
    <t>MHz</t>
  </si>
  <si>
    <t>Maximum path loss incl. antenna gains</t>
  </si>
  <si>
    <t>Version:</t>
  </si>
  <si>
    <t>Free space path loss FSPL = 20*log10(d) + 20 log10(f) + 32,45</t>
  </si>
  <si>
    <t>Free Space Range</t>
  </si>
  <si>
    <t>D =</t>
  </si>
  <si>
    <r>
      <t>P</t>
    </r>
    <r>
      <rPr>
        <sz val="8"/>
        <rFont val="Arial"/>
        <family val="2"/>
      </rPr>
      <t>Lmax</t>
    </r>
    <r>
      <rPr>
        <sz val="10"/>
        <rFont val="Arial"/>
        <family val="2"/>
      </rPr>
      <t xml:space="preserve"> =</t>
    </r>
  </si>
  <si>
    <t>for given Bandwidth and SNR</t>
  </si>
  <si>
    <t>Noise Power [W] @amb.Temp.</t>
  </si>
  <si>
    <t>Noise Power [dBm] @amb.Temp.</t>
  </si>
  <si>
    <t>chain</t>
  </si>
  <si>
    <t>Everything in front of receiver</t>
  </si>
  <si>
    <t>this includes cable losses</t>
  </si>
  <si>
    <t>(from above)</t>
  </si>
  <si>
    <t>Operating frequency</t>
  </si>
  <si>
    <t>Maximum possible pathloss</t>
  </si>
  <si>
    <t>Max distance with your SNR</t>
  </si>
  <si>
    <t>km</t>
  </si>
  <si>
    <t>For standard voice channel 
use 2500 Hz</t>
  </si>
  <si>
    <t>B =</t>
  </si>
  <si>
    <t>W</t>
  </si>
  <si>
    <t>Signal Power</t>
  </si>
  <si>
    <t>(293K for 20°C)</t>
  </si>
  <si>
    <t>gain linear</t>
  </si>
  <si>
    <t xml:space="preserve">References: </t>
  </si>
  <si>
    <t xml:space="preserve">RSGB VHF/UHF Manual 1996 </t>
  </si>
  <si>
    <t>ARRL Antenna Handbook</t>
  </si>
  <si>
    <t>at feedpoint of antenna</t>
  </si>
  <si>
    <t>This includes all of receiver</t>
  </si>
  <si>
    <t>Bandwidth</t>
  </si>
  <si>
    <t xml:space="preserve">Boltzmann Konst. </t>
  </si>
  <si>
    <t xml:space="preserve">Temperature </t>
  </si>
  <si>
    <t xml:space="preserve"> B =</t>
  </si>
  <si>
    <r>
      <t>T</t>
    </r>
    <r>
      <rPr>
        <sz val="8"/>
        <rFont val="Arial"/>
        <family val="2"/>
      </rPr>
      <t>A</t>
    </r>
    <r>
      <rPr>
        <sz val="10"/>
        <rFont val="Arial"/>
        <family val="2"/>
      </rPr>
      <t xml:space="preserve"> =</t>
    </r>
  </si>
  <si>
    <r>
      <t>NF</t>
    </r>
    <r>
      <rPr>
        <sz val="8"/>
        <rFont val="Arial"/>
        <family val="2"/>
      </rPr>
      <t>allRX</t>
    </r>
    <r>
      <rPr>
        <sz val="10"/>
        <rFont val="Arial"/>
        <family val="2"/>
      </rPr>
      <t xml:space="preserve"> =</t>
    </r>
  </si>
  <si>
    <t>*</t>
  </si>
  <si>
    <r>
      <t>T</t>
    </r>
    <r>
      <rPr>
        <sz val="8"/>
        <rFont val="Arial"/>
        <family val="2"/>
      </rPr>
      <t>0</t>
    </r>
    <r>
      <rPr>
        <sz val="8.5"/>
        <rFont val="Arial"/>
        <family val="2"/>
      </rPr>
      <t xml:space="preserve"> =</t>
    </r>
  </si>
  <si>
    <t>is 290 K (17°C)</t>
  </si>
  <si>
    <t>Watt/Hz</t>
  </si>
  <si>
    <t>at B</t>
  </si>
  <si>
    <t>no B</t>
  </si>
  <si>
    <t>Earth-Moon-Earth (EME) Pathloss for a given frequency</t>
  </si>
  <si>
    <t>RADAR Equation</t>
  </si>
  <si>
    <r>
      <t>P</t>
    </r>
    <r>
      <rPr>
        <sz val="8"/>
        <color theme="0" tint="-0.499984740745262"/>
        <rFont val="Arial"/>
        <family val="2"/>
      </rPr>
      <t>RX</t>
    </r>
    <r>
      <rPr>
        <sz val="10"/>
        <color theme="0" tint="-0.499984740745262"/>
        <rFont val="Arial"/>
        <family val="2"/>
      </rPr>
      <t xml:space="preserve"> = P</t>
    </r>
    <r>
      <rPr>
        <sz val="8"/>
        <color theme="0" tint="-0.499984740745262"/>
        <rFont val="Arial"/>
        <family val="2"/>
      </rPr>
      <t>TR</t>
    </r>
    <r>
      <rPr>
        <sz val="10"/>
        <color theme="0" tint="-0.499984740745262"/>
        <rFont val="Arial"/>
        <family val="2"/>
      </rPr>
      <t xml:space="preserve"> * G</t>
    </r>
    <r>
      <rPr>
        <sz val="8"/>
        <color theme="0" tint="-0.499984740745262"/>
        <rFont val="Arial"/>
        <family val="2"/>
      </rPr>
      <t>TX</t>
    </r>
    <r>
      <rPr>
        <sz val="10"/>
        <color theme="0" tint="-0.499984740745262"/>
        <rFont val="Arial"/>
        <family val="2"/>
      </rPr>
      <t xml:space="preserve"> * A</t>
    </r>
    <r>
      <rPr>
        <sz val="8"/>
        <color theme="0" tint="-0.499984740745262"/>
        <rFont val="Arial"/>
        <family val="2"/>
      </rPr>
      <t>RX</t>
    </r>
    <r>
      <rPr>
        <sz val="10"/>
        <color theme="0" tint="-0.499984740745262"/>
        <rFont val="Arial"/>
        <family val="2"/>
      </rPr>
      <t xml:space="preserve"> * Q</t>
    </r>
    <r>
      <rPr>
        <sz val="8"/>
        <color theme="0" tint="-0.499984740745262"/>
        <rFont val="Arial"/>
        <family val="2"/>
      </rPr>
      <t>R</t>
    </r>
    <r>
      <rPr>
        <sz val="10"/>
        <color theme="0" tint="-0.499984740745262"/>
        <rFont val="Arial"/>
        <family val="2"/>
      </rPr>
      <t xml:space="preserve"> / (4 * pi d^2)^2</t>
    </r>
  </si>
  <si>
    <r>
      <t xml:space="preserve">  P</t>
    </r>
    <r>
      <rPr>
        <sz val="8"/>
        <color theme="0" tint="-0.499984740745262"/>
        <rFont val="Arial"/>
        <family val="2"/>
      </rPr>
      <t>RX</t>
    </r>
    <r>
      <rPr>
        <sz val="10"/>
        <color theme="0" tint="-0.499984740745262"/>
        <rFont val="Arial"/>
        <family val="2"/>
      </rPr>
      <t xml:space="preserve"> = received power</t>
    </r>
  </si>
  <si>
    <r>
      <t xml:space="preserve">  P</t>
    </r>
    <r>
      <rPr>
        <sz val="8"/>
        <color theme="0" tint="-0.499984740745262"/>
        <rFont val="Arial"/>
        <family val="2"/>
      </rPr>
      <t>TR</t>
    </r>
    <r>
      <rPr>
        <sz val="10"/>
        <color theme="0" tint="-0.499984740745262"/>
        <rFont val="Arial"/>
        <family val="2"/>
      </rPr>
      <t xml:space="preserve"> = transmitted power</t>
    </r>
  </si>
  <si>
    <r>
      <t xml:space="preserve">  G</t>
    </r>
    <r>
      <rPr>
        <sz val="8"/>
        <color theme="0" tint="-0.499984740745262"/>
        <rFont val="Arial"/>
        <family val="2"/>
      </rPr>
      <t>TX</t>
    </r>
    <r>
      <rPr>
        <sz val="10"/>
        <color theme="0" tint="-0.499984740745262"/>
        <rFont val="Arial"/>
        <family val="2"/>
      </rPr>
      <t xml:space="preserve"> = Gain of transmitting antenna</t>
    </r>
  </si>
  <si>
    <r>
      <t xml:space="preserve">  A</t>
    </r>
    <r>
      <rPr>
        <sz val="8"/>
        <color theme="0" tint="-0.499984740745262"/>
        <rFont val="Arial"/>
        <family val="2"/>
      </rPr>
      <t>RX</t>
    </r>
    <r>
      <rPr>
        <sz val="10"/>
        <color theme="0" tint="-0.499984740745262"/>
        <rFont val="Arial"/>
        <family val="2"/>
      </rPr>
      <t xml:space="preserve"> = Receive antenna aperture</t>
    </r>
  </si>
  <si>
    <r>
      <t xml:space="preserve">  Q</t>
    </r>
    <r>
      <rPr>
        <sz val="8"/>
        <color theme="0" tint="-0.499984740745262"/>
        <rFont val="Arial"/>
        <family val="2"/>
      </rPr>
      <t>R</t>
    </r>
    <r>
      <rPr>
        <sz val="10"/>
        <color theme="0" tint="-0.499984740745262"/>
        <rFont val="Arial"/>
        <family val="2"/>
      </rPr>
      <t xml:space="preserve"> = Reflecting cross section</t>
    </r>
  </si>
  <si>
    <t xml:space="preserve">  d = distance</t>
  </si>
  <si>
    <r>
      <t>P</t>
    </r>
    <r>
      <rPr>
        <sz val="8"/>
        <color theme="0" tint="-0.499984740745262"/>
        <rFont val="Arial"/>
        <family val="2"/>
      </rPr>
      <t>RX</t>
    </r>
    <r>
      <rPr>
        <sz val="10"/>
        <color theme="0" tint="-0.499984740745262"/>
        <rFont val="Arial"/>
        <family val="2"/>
      </rPr>
      <t xml:space="preserve"> = P</t>
    </r>
    <r>
      <rPr>
        <sz val="8"/>
        <color theme="0" tint="-0.499984740745262"/>
        <rFont val="Arial"/>
        <family val="2"/>
      </rPr>
      <t>TX</t>
    </r>
    <r>
      <rPr>
        <sz val="10"/>
        <color theme="0" tint="-0.499984740745262"/>
        <rFont val="Arial"/>
        <family val="2"/>
      </rPr>
      <t xml:space="preserve"> + G</t>
    </r>
    <r>
      <rPr>
        <sz val="8"/>
        <color theme="0" tint="-0.499984740745262"/>
        <rFont val="Arial"/>
        <family val="2"/>
      </rPr>
      <t>TX</t>
    </r>
    <r>
      <rPr>
        <sz val="10"/>
        <color theme="0" tint="-0.499984740745262"/>
        <rFont val="Arial"/>
        <family val="2"/>
      </rPr>
      <t xml:space="preserve"> + G</t>
    </r>
    <r>
      <rPr>
        <sz val="8"/>
        <color theme="0" tint="-0.499984740745262"/>
        <rFont val="Arial"/>
        <family val="2"/>
      </rPr>
      <t>RX</t>
    </r>
    <r>
      <rPr>
        <sz val="10"/>
        <color theme="0" tint="-0.499984740745262"/>
        <rFont val="Arial"/>
        <family val="2"/>
      </rPr>
      <t xml:space="preserve"> + 10*log10(Q</t>
    </r>
    <r>
      <rPr>
        <sz val="8"/>
        <color theme="0" tint="-0.499984740745262"/>
        <rFont val="Arial"/>
        <family val="2"/>
      </rPr>
      <t>R</t>
    </r>
    <r>
      <rPr>
        <sz val="10"/>
        <color theme="0" tint="-0.499984740745262"/>
        <rFont val="Arial"/>
        <family val="2"/>
      </rPr>
      <t>) - 20*log10(f) - 40*log10(d) - 103,4</t>
    </r>
  </si>
  <si>
    <r>
      <t xml:space="preserve">  G</t>
    </r>
    <r>
      <rPr>
        <sz val="8"/>
        <color theme="0" tint="-0.499984740745262"/>
        <rFont val="Arial"/>
        <family val="2"/>
      </rPr>
      <t>RX</t>
    </r>
    <r>
      <rPr>
        <sz val="10"/>
        <color theme="0" tint="-0.499984740745262"/>
        <rFont val="Arial"/>
        <family val="2"/>
      </rPr>
      <t xml:space="preserve"> = received power
  f = Frequency in MHz</t>
    </r>
  </si>
  <si>
    <t>Transmitted power</t>
  </si>
  <si>
    <r>
      <t>P</t>
    </r>
    <r>
      <rPr>
        <sz val="8"/>
        <rFont val="Arial"/>
        <family val="2"/>
      </rPr>
      <t>TX</t>
    </r>
    <r>
      <rPr>
        <sz val="10"/>
        <rFont val="Arial"/>
        <family val="2"/>
      </rPr>
      <t xml:space="preserve"> =</t>
    </r>
  </si>
  <si>
    <r>
      <t>P</t>
    </r>
    <r>
      <rPr>
        <sz val="8"/>
        <rFont val="Arial"/>
        <family val="2"/>
      </rPr>
      <t xml:space="preserve">TX </t>
    </r>
    <r>
      <rPr>
        <sz val="10"/>
        <rFont val="Arial"/>
        <family val="2"/>
      </rPr>
      <t>=</t>
    </r>
  </si>
  <si>
    <r>
      <t>G</t>
    </r>
    <r>
      <rPr>
        <sz val="8"/>
        <rFont val="Arial"/>
        <family val="2"/>
      </rPr>
      <t>TX</t>
    </r>
    <r>
      <rPr>
        <sz val="10"/>
        <rFont val="Arial"/>
        <family val="2"/>
      </rPr>
      <t xml:space="preserve"> =</t>
    </r>
  </si>
  <si>
    <r>
      <t>G</t>
    </r>
    <r>
      <rPr>
        <sz val="8"/>
        <rFont val="Arial"/>
        <family val="2"/>
      </rPr>
      <t>RX</t>
    </r>
    <r>
      <rPr>
        <sz val="10"/>
        <rFont val="Arial"/>
        <family val="2"/>
      </rPr>
      <t xml:space="preserve"> =</t>
    </r>
  </si>
  <si>
    <t>f =</t>
  </si>
  <si>
    <t>d =</t>
  </si>
  <si>
    <t>actual distance of moon</t>
  </si>
  <si>
    <t>Reflecting cross section</t>
  </si>
  <si>
    <r>
      <t>Q</t>
    </r>
    <r>
      <rPr>
        <sz val="8"/>
        <rFont val="Arial"/>
        <family val="2"/>
      </rPr>
      <t>R</t>
    </r>
    <r>
      <rPr>
        <sz val="10"/>
        <rFont val="Arial"/>
        <family val="2"/>
      </rPr>
      <t xml:space="preserve"> =</t>
    </r>
  </si>
  <si>
    <r>
      <t>P</t>
    </r>
    <r>
      <rPr>
        <sz val="8"/>
        <rFont val="Arial"/>
        <family val="2"/>
      </rPr>
      <t>RX</t>
    </r>
    <r>
      <rPr>
        <sz val="10"/>
        <rFont val="Arial"/>
        <family val="2"/>
      </rPr>
      <t xml:space="preserve"> =</t>
    </r>
  </si>
  <si>
    <t>PN = 10*log (kTsB)</t>
  </si>
  <si>
    <t>PN =</t>
  </si>
  <si>
    <t xml:space="preserve">PN = </t>
  </si>
  <si>
    <t xml:space="preserve">S/N = </t>
  </si>
  <si>
    <t>from this following</t>
  </si>
  <si>
    <t>for EME / Moonbounce</t>
  </si>
  <si>
    <t>Calculation of maximum possible Free Space Range (Reflections by Moon - see further down)</t>
  </si>
  <si>
    <r>
      <t xml:space="preserve">Frequency </t>
    </r>
    <r>
      <rPr>
        <u/>
        <sz val="10"/>
        <rFont val="Arial"/>
        <family val="2"/>
      </rPr>
      <t>(relevant for all calculations)</t>
    </r>
  </si>
  <si>
    <r>
      <t>T</t>
    </r>
    <r>
      <rPr>
        <sz val="8"/>
        <rFont val="Arial"/>
        <family val="2"/>
      </rPr>
      <t>N</t>
    </r>
    <r>
      <rPr>
        <sz val="10"/>
        <rFont val="Arial"/>
        <family val="2"/>
      </rPr>
      <t>=</t>
    </r>
  </si>
  <si>
    <t>incl. Antenna</t>
  </si>
  <si>
    <t>Total system Noise Temperature</t>
  </si>
  <si>
    <t>Total system Noise Figure</t>
  </si>
  <si>
    <t>without Moon Temp.Noise</t>
  </si>
  <si>
    <t>reflected signal from Moon</t>
  </si>
  <si>
    <t>Receiver Noise figure</t>
  </si>
  <si>
    <t>Receiver Noise temperature</t>
  </si>
  <si>
    <r>
      <t>T</t>
    </r>
    <r>
      <rPr>
        <sz val="8"/>
        <rFont val="Arial"/>
        <family val="2"/>
      </rPr>
      <t>noiseSYS</t>
    </r>
  </si>
  <si>
    <r>
      <t>NF</t>
    </r>
    <r>
      <rPr>
        <sz val="8"/>
        <rFont val="Arial"/>
        <family val="2"/>
      </rPr>
      <t>SYS</t>
    </r>
  </si>
  <si>
    <t>All Receiver Noise Temperature</t>
  </si>
  <si>
    <r>
      <t>RXT</t>
    </r>
    <r>
      <rPr>
        <sz val="8"/>
        <rFont val="Arial"/>
        <family val="2"/>
      </rPr>
      <t>N</t>
    </r>
    <r>
      <rPr>
        <sz val="11"/>
        <rFont val="Arial"/>
        <family val="2"/>
      </rPr>
      <t>=</t>
    </r>
  </si>
  <si>
    <t>Operating Frequency</t>
  </si>
  <si>
    <t>Noise Power [W/Hz] @amb.Temp.</t>
  </si>
  <si>
    <t>My system's Signal to Noise Ratio:</t>
  </si>
  <si>
    <t>Gain over isotropic</t>
  </si>
  <si>
    <t>from RADAR Equation</t>
  </si>
  <si>
    <r>
      <t>P</t>
    </r>
    <r>
      <rPr>
        <sz val="8"/>
        <rFont val="Arial"/>
        <family val="2"/>
      </rPr>
      <t>signal</t>
    </r>
  </si>
  <si>
    <t>Receive Power @D</t>
  </si>
  <si>
    <r>
      <t>P</t>
    </r>
    <r>
      <rPr>
        <sz val="8"/>
        <rFont val="Arial"/>
        <family val="2"/>
      </rPr>
      <t>rec</t>
    </r>
    <r>
      <rPr>
        <sz val="10"/>
        <rFont val="Arial"/>
        <family val="2"/>
      </rPr>
      <t>=</t>
    </r>
  </si>
  <si>
    <t>General  temperature</t>
  </si>
  <si>
    <r>
      <t>Noise Power PN = kTB = k*T</t>
    </r>
    <r>
      <rPr>
        <i/>
        <sz val="8"/>
        <color theme="0" tint="-0.499984740745262"/>
        <rFont val="Arial"/>
        <family val="2"/>
      </rPr>
      <t>0</t>
    </r>
    <r>
      <rPr>
        <i/>
        <sz val="10"/>
        <color theme="0" tint="-0.499984740745262"/>
        <rFont val="Arial"/>
        <family val="2"/>
      </rPr>
      <t>*B*(T</t>
    </r>
    <r>
      <rPr>
        <i/>
        <sz val="8"/>
        <color theme="0" tint="-0.499984740745262"/>
        <rFont val="Arial"/>
        <family val="2"/>
      </rPr>
      <t>A</t>
    </r>
    <r>
      <rPr>
        <i/>
        <sz val="10"/>
        <color theme="0" tint="-0.499984740745262"/>
        <rFont val="Arial"/>
        <family val="2"/>
      </rPr>
      <t>/T</t>
    </r>
    <r>
      <rPr>
        <i/>
        <sz val="8"/>
        <color theme="0" tint="-0.499984740745262"/>
        <rFont val="Arial"/>
        <family val="2"/>
      </rPr>
      <t>0</t>
    </r>
    <r>
      <rPr>
        <i/>
        <sz val="10"/>
        <color theme="0" tint="-0.499984740745262"/>
        <rFont val="Arial"/>
        <family val="2"/>
      </rPr>
      <t>) = -174+10*log(T</t>
    </r>
    <r>
      <rPr>
        <i/>
        <sz val="8"/>
        <color theme="0" tint="-0.499984740745262"/>
        <rFont val="Arial"/>
        <family val="2"/>
      </rPr>
      <t>A</t>
    </r>
    <r>
      <rPr>
        <i/>
        <sz val="10"/>
        <color theme="0" tint="-0.499984740745262"/>
        <rFont val="Arial"/>
        <family val="2"/>
      </rPr>
      <t>/T</t>
    </r>
    <r>
      <rPr>
        <i/>
        <sz val="8"/>
        <color theme="0" tint="-0.499984740745262"/>
        <rFont val="Arial"/>
        <family val="2"/>
      </rPr>
      <t>0</t>
    </r>
    <r>
      <rPr>
        <i/>
        <sz val="10"/>
        <color theme="0" tint="-0.499984740745262"/>
        <rFont val="Arial"/>
        <family val="2"/>
      </rPr>
      <t>)+10*log(B)</t>
    </r>
  </si>
  <si>
    <t>Mio km</t>
  </si>
  <si>
    <t>Antenna temperature (Sky Noise)</t>
  </si>
  <si>
    <t>Everything in front of LNA</t>
  </si>
  <si>
    <t>This includes all of receiver incl. Low Noise Amplifier (LNA)</t>
  </si>
  <si>
    <t xml:space="preserve">S/N wanted = </t>
  </si>
  <si>
    <t>S/N margin =</t>
  </si>
  <si>
    <r>
      <t>P</t>
    </r>
    <r>
      <rPr>
        <sz val="8"/>
        <rFont val="Arial"/>
        <family val="2"/>
      </rPr>
      <t xml:space="preserve">N </t>
    </r>
    <r>
      <rPr>
        <sz val="10"/>
        <rFont val="Arial"/>
        <family val="2"/>
      </rPr>
      <t>=</t>
    </r>
  </si>
  <si>
    <t>AU</t>
  </si>
  <si>
    <t>Transmit antenna spillover</t>
  </si>
  <si>
    <t>GainTxA =</t>
  </si>
  <si>
    <t>SoTxA =</t>
  </si>
  <si>
    <t>GainRxA =</t>
  </si>
  <si>
    <t>SoRxA =</t>
  </si>
  <si>
    <t>Transmit antenna gain - Spillover</t>
  </si>
  <si>
    <t>Receive antenna gain - Spillover</t>
  </si>
  <si>
    <t>RX Antenna Spillover (Noise Temp)</t>
  </si>
  <si>
    <r>
      <t>T</t>
    </r>
    <r>
      <rPr>
        <sz val="8"/>
        <rFont val="Arial"/>
        <family val="2"/>
      </rPr>
      <t>A-SO</t>
    </r>
    <r>
      <rPr>
        <sz val="10"/>
        <rFont val="Arial"/>
        <family val="2"/>
      </rPr>
      <t xml:space="preserve"> =</t>
    </r>
  </si>
  <si>
    <t>Lunar reflection coefficient</t>
  </si>
  <si>
    <t>%</t>
  </si>
  <si>
    <t>Lunar distance (~385000 km)</t>
  </si>
  <si>
    <t>Sensitivity</t>
  </si>
  <si>
    <t>Moon Return Loss (Pathloss)</t>
  </si>
  <si>
    <r>
      <t>P</t>
    </r>
    <r>
      <rPr>
        <sz val="8"/>
        <rFont val="Arial"/>
        <family val="2"/>
      </rPr>
      <t>L</t>
    </r>
    <r>
      <rPr>
        <sz val="10"/>
        <rFont val="Arial"/>
        <family val="2"/>
      </rPr>
      <t xml:space="preserve"> =</t>
    </r>
  </si>
  <si>
    <t>at feedpoint of antenna
including feedline losses</t>
  </si>
  <si>
    <t>Receive antenna spillover</t>
  </si>
  <si>
    <t>(Astronomical Units
1AU = 150 Mio km)</t>
  </si>
  <si>
    <t>This sheet does not take in account:</t>
  </si>
  <si>
    <t>Gain over isotropic
including efficiency losses</t>
  </si>
  <si>
    <t>Efficiency Calculator</t>
  </si>
  <si>
    <t>GainA =</t>
  </si>
  <si>
    <t>effA =</t>
  </si>
  <si>
    <t>Loss by efficiency</t>
  </si>
  <si>
    <t>eff-Loss</t>
  </si>
  <si>
    <r>
      <t>GainA</t>
    </r>
    <r>
      <rPr>
        <sz val="8"/>
        <rFont val="Arial"/>
        <family val="2"/>
      </rPr>
      <t>eff</t>
    </r>
  </si>
  <si>
    <t>C Petermann DF9CY</t>
  </si>
  <si>
    <t>Antenna Gain (theoretical)</t>
  </si>
  <si>
    <t>Including</t>
  </si>
  <si>
    <t>Free space path loss, Radar equation and signal calculation</t>
  </si>
  <si>
    <t>k =</t>
  </si>
  <si>
    <t>Signal / Noise Ratio</t>
  </si>
  <si>
    <t>SNR =</t>
  </si>
  <si>
    <t>Effective reflecting cross section</t>
  </si>
  <si>
    <r>
      <t>Q</t>
    </r>
    <r>
      <rPr>
        <sz val="8"/>
        <rFont val="Arial"/>
        <family val="2"/>
      </rPr>
      <t>R-eff</t>
    </r>
    <r>
      <rPr>
        <sz val="10"/>
        <rFont val="Arial"/>
        <family val="2"/>
      </rPr>
      <t xml:space="preserve"> =</t>
    </r>
  </si>
  <si>
    <r>
      <t>m</t>
    </r>
    <r>
      <rPr>
        <vertAlign val="superscript"/>
        <sz val="10"/>
        <rFont val="Arial"/>
        <family val="2"/>
      </rPr>
      <t>2</t>
    </r>
  </si>
  <si>
    <t>RADAR Considerations (Signal reflecting from theMoon)</t>
  </si>
  <si>
    <t>Only the yellow fields shall be modified!</t>
  </si>
  <si>
    <t>© C.Petermann 1997 / revision 2024</t>
  </si>
  <si>
    <r>
      <t>L</t>
    </r>
    <r>
      <rPr>
        <sz val="8"/>
        <rFont val="Arial"/>
        <family val="2"/>
      </rPr>
      <t>Dia</t>
    </r>
  </si>
  <si>
    <t>mean diameter</t>
  </si>
  <si>
    <t>Version of</t>
  </si>
  <si>
    <t>Donald F. Winter : A Theory of Radar Reflections From a Rough Moon [1961]</t>
  </si>
  <si>
    <t>J. V. Evans : Radar Studies of the Moon MIT, U.S.A. [1966]</t>
  </si>
  <si>
    <t>Prof Dr Fritz Dellsperger Scripts</t>
  </si>
  <si>
    <t>Prof Dr Dietmar Rudolph Scripts TFH Berlin</t>
  </si>
  <si>
    <t>1: Efficiency Calculator
2: Comparison to VK3UM EMECALC</t>
  </si>
  <si>
    <t>(7,4% for ~400 MHz .. &gt; 5 GHz)</t>
  </si>
  <si>
    <t>σ =</t>
  </si>
  <si>
    <t>QR = (σ/2)^2 * pi * refC</t>
  </si>
  <si>
    <r>
      <rPr>
        <i/>
        <sz val="10"/>
        <color theme="0" tint="-0.499984740745262"/>
        <rFont val="Arial"/>
        <family val="2"/>
      </rPr>
      <t>σ</t>
    </r>
    <r>
      <rPr>
        <i/>
        <sz val="8"/>
        <color theme="0" tint="-0.499984740745262"/>
        <rFont val="Arial"/>
        <family val="2"/>
      </rPr>
      <t xml:space="preserve"> = 8,1+/- 0.5% for 100 MHz .. 10 GHz ==&gt; see Evans [1961] in 
"A Theory of Radar Reflections From a Rough Moon" by Donald F. Winter</t>
    </r>
  </si>
  <si>
    <t>σ = reflectivity coefficient ca 7,4% @400 MHz</t>
  </si>
  <si>
    <t>Wavelength</t>
  </si>
  <si>
    <t>WL=</t>
  </si>
  <si>
    <t>cm</t>
  </si>
  <si>
    <t>θ =</t>
  </si>
  <si>
    <t>Deg</t>
  </si>
  <si>
    <t>Wikipedia on Parabolic Dish antenna</t>
  </si>
  <si>
    <t>F =</t>
  </si>
  <si>
    <t>Antenna Gain incl. Efficiency.</t>
  </si>
  <si>
    <r>
      <t xml:space="preserve">Efficiency of your antenna
</t>
    </r>
    <r>
      <rPr>
        <sz val="8"/>
        <rFont val="Arial"/>
        <family val="2"/>
      </rPr>
      <t>(55% is a good conservative value)</t>
    </r>
  </si>
  <si>
    <t xml:space="preserve">d = </t>
  </si>
  <si>
    <t>* incl. Efficiency loss | Diameter needed</t>
  </si>
  <si>
    <r>
      <t xml:space="preserve">Transmit antenna gain </t>
    </r>
    <r>
      <rPr>
        <u/>
        <sz val="10"/>
        <rFont val="Arial"/>
        <family val="2"/>
      </rPr>
      <t>(incl. eff)</t>
    </r>
  </si>
  <si>
    <r>
      <t xml:space="preserve">Receive antenna gain </t>
    </r>
    <r>
      <rPr>
        <u/>
        <sz val="10"/>
        <rFont val="Arial"/>
        <family val="2"/>
      </rPr>
      <t>(incl. eff)</t>
    </r>
  </si>
  <si>
    <t>For comparison to VK3UM EMECALC</t>
  </si>
  <si>
    <r>
      <rPr>
        <b/>
        <sz val="9"/>
        <rFont val="Arial"/>
        <family val="2"/>
      </rPr>
      <t>Parabolic Dish Antenna</t>
    </r>
    <r>
      <rPr>
        <sz val="9"/>
        <rFont val="Arial"/>
        <family val="2"/>
      </rPr>
      <t xml:space="preserve"> (theor.)
* </t>
    </r>
    <r>
      <rPr>
        <sz val="8"/>
        <rFont val="Arial"/>
        <family val="2"/>
      </rPr>
      <t>not incl. Efficiency loss | Diameter</t>
    </r>
  </si>
  <si>
    <r>
      <t xml:space="preserve">3 dB Beamwidth for k = 70
</t>
    </r>
    <r>
      <rPr>
        <sz val="8"/>
        <rFont val="Arial"/>
        <family val="2"/>
      </rPr>
      <t>(typical Parabilic Dish k = 55 .. 75)</t>
    </r>
  </si>
  <si>
    <t>see above</t>
  </si>
  <si>
    <t>Uwe Siart : Rauschen von linearen Zweitoren</t>
  </si>
  <si>
    <t>Lunar distance</t>
  </si>
  <si>
    <t>move slider</t>
  </si>
  <si>
    <t>approx. Diameter of the Moon</t>
  </si>
  <si>
    <t>1: Moon Noise
2: Moon disk / Beam width
3: Mesh losses of a dish
4: Doppler Effect calculation</t>
  </si>
  <si>
    <t>The results of this calculator are very consistent to the results of the VK3UM program EMECALC, which is a remarkable piece of software written by Doug McArthur</t>
  </si>
  <si>
    <t>Intention: This was/is primary for my own understanding of the theory behind Earth-Moon-Earth (EME) / Moonbounce and space communication in Amateur Radio.</t>
  </si>
  <si>
    <t>***) Note: The signal/noise ratio of a digital signal (in dB) indicated in WSJT type software does not necessarily correspond linear to signal power-level ratio (in dB); i.e. especially in distorted channels.</t>
  </si>
  <si>
    <t>***)</t>
  </si>
  <si>
    <t>****)  describes the virtual area as it is seen from Earth</t>
  </si>
  <si>
    <t>****) Lunar Cross Section</t>
  </si>
  <si>
    <t>For standard voice channel 
use 2500 Hz (WSJT assumes this BW) *)</t>
  </si>
  <si>
    <t>enter the wanted S/N level in dB (0dB) or the necessary S/N level in dB for sensitivity of your digital mode (FT8, Q65 etc) on the receiver side **)</t>
  </si>
  <si>
    <t>**) WSJT (K1JT) type software refers to 2500 Hz bandwidth (i.e.  a standard voice channel).</t>
  </si>
  <si>
    <t>*) Enter :
=&gt; 2500 Hz for a typical voice channel
=&gt; 100 Hz for a typical single tone (i.e. CW) channel
=&gt; use 2500 Hz for a digital channel (WSJT like software ); otherwise results cannot be interpreted usefully.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</si>
</sst>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E+00"/>
    <numFmt numFmtId="165" formatCode="0.000"/>
    <numFmt numFmtId="166" formatCode="0.000E+00"/>
    <numFmt numFmtId="167" formatCode="0.0000E+00"/>
    <numFmt numFmtId="168" formatCode="0.0"/>
    <numFmt numFmtId="169" formatCode="0.00_ ;[Red]\-0.00\ "/>
  </numFmts>
  <fonts count="37" x14ac:knownFonts="1">
    <font>
      <sz val="10"/>
      <name val="Arial"/>
    </font>
    <font>
      <sz val="10"/>
      <color indexed="10"/>
      <name val="Arial"/>
      <family val="2"/>
    </font>
    <font>
      <sz val="10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8.5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8"/>
      <name val="Arial"/>
      <family val="2"/>
    </font>
    <font>
      <sz val="10"/>
      <color theme="0" tint="-0.499984740745262"/>
      <name val="Arial"/>
      <family val="2"/>
    </font>
    <font>
      <i/>
      <sz val="10"/>
      <color theme="0" tint="-0.499984740745262"/>
      <name val="Arial"/>
      <family val="2"/>
    </font>
    <font>
      <sz val="8"/>
      <name val="Calibri"/>
      <family val="2"/>
      <scheme val="minor"/>
    </font>
    <font>
      <b/>
      <sz val="13.5"/>
      <color rgb="FFFFC000"/>
      <name val="Arial"/>
      <family val="2"/>
    </font>
    <font>
      <sz val="10"/>
      <color rgb="FFFFC000"/>
      <name val="Arial"/>
      <family val="2"/>
    </font>
    <font>
      <sz val="8"/>
      <color rgb="FFFFC000"/>
      <name val="Calibri"/>
      <family val="2"/>
      <scheme val="minor"/>
    </font>
    <font>
      <sz val="8"/>
      <color rgb="FFFFC000"/>
      <name val="Arial"/>
      <family val="2"/>
    </font>
    <font>
      <sz val="9"/>
      <color theme="3" tint="0.39997558519241921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sz val="8"/>
      <color theme="0" tint="-0.499984740745262"/>
      <name val="Arial"/>
      <family val="2"/>
    </font>
    <font>
      <b/>
      <sz val="10"/>
      <color rgb="FF0070C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sz val="9"/>
      <color rgb="FFFF0000"/>
      <name val="Arial"/>
      <family val="2"/>
    </font>
    <font>
      <i/>
      <sz val="8"/>
      <color theme="0" tint="-0.499984740745262"/>
      <name val="Arial"/>
      <family val="2"/>
    </font>
    <font>
      <b/>
      <sz val="8"/>
      <color indexed="10"/>
      <name val="Arial"/>
      <family val="2"/>
    </font>
    <font>
      <b/>
      <sz val="9"/>
      <color rgb="FF0070C0"/>
      <name val="Calibri"/>
      <family val="2"/>
      <scheme val="minor"/>
    </font>
    <font>
      <b/>
      <sz val="10"/>
      <color rgb="FFC00000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0"/>
      <name val="Calibri"/>
      <family val="2"/>
    </font>
    <font>
      <b/>
      <sz val="9"/>
      <name val="Arial"/>
      <family val="2"/>
    </font>
    <font>
      <i/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EF4F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E7FDF1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/>
    <xf numFmtId="0" fontId="2" fillId="0" borderId="0" xfId="0" applyFont="1" applyProtection="1">
      <protection locked="0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" fillId="3" borderId="0" xfId="0" applyFont="1" applyFill="1"/>
    <xf numFmtId="1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/>
    </xf>
    <xf numFmtId="0" fontId="1" fillId="3" borderId="0" xfId="0" applyFont="1" applyFill="1"/>
    <xf numFmtId="0" fontId="3" fillId="3" borderId="0" xfId="0" applyFont="1" applyFill="1" applyBorder="1" applyProtection="1">
      <protection locked="0"/>
    </xf>
    <xf numFmtId="0" fontId="3" fillId="3" borderId="0" xfId="0" applyFont="1" applyFill="1" applyBorder="1" applyAlignment="1" applyProtection="1">
      <alignment horizontal="left"/>
      <protection locked="0"/>
    </xf>
    <xf numFmtId="2" fontId="14" fillId="3" borderId="0" xfId="0" applyNumberFormat="1" applyFont="1" applyFill="1" applyBorder="1" applyAlignment="1" applyProtection="1">
      <alignment horizontal="left"/>
      <protection locked="0"/>
    </xf>
    <xf numFmtId="0" fontId="10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2" fontId="2" fillId="3" borderId="0" xfId="0" applyNumberFormat="1" applyFont="1" applyFill="1" applyBorder="1" applyAlignment="1" applyProtection="1">
      <alignment horizontal="right"/>
      <protection locked="0"/>
    </xf>
    <xf numFmtId="2" fontId="2" fillId="3" borderId="0" xfId="0" applyNumberFormat="1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13" fillId="3" borderId="0" xfId="0" applyFont="1" applyFill="1" applyBorder="1" applyAlignment="1" applyProtection="1">
      <protection locked="0"/>
    </xf>
    <xf numFmtId="11" fontId="6" fillId="3" borderId="0" xfId="0" applyNumberFormat="1" applyFont="1" applyFill="1" applyBorder="1" applyAlignment="1" applyProtection="1">
      <alignment horizontal="center"/>
      <protection locked="0"/>
    </xf>
    <xf numFmtId="2" fontId="6" fillId="3" borderId="0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Protection="1">
      <protection locked="0"/>
    </xf>
    <xf numFmtId="2" fontId="4" fillId="3" borderId="0" xfId="0" applyNumberFormat="1" applyFont="1" applyFill="1" applyBorder="1" applyAlignment="1" applyProtection="1">
      <alignment horizontal="right"/>
      <protection locked="0"/>
    </xf>
    <xf numFmtId="2" fontId="4" fillId="3" borderId="0" xfId="0" applyNumberFormat="1" applyFont="1" applyFill="1" applyBorder="1" applyAlignment="1" applyProtection="1">
      <alignment horizontal="center"/>
      <protection locked="0"/>
    </xf>
    <xf numFmtId="2" fontId="10" fillId="3" borderId="0" xfId="0" applyNumberFormat="1" applyFont="1" applyFill="1" applyBorder="1" applyAlignment="1" applyProtection="1">
      <alignment horizontal="right"/>
      <protection locked="0"/>
    </xf>
    <xf numFmtId="0" fontId="7" fillId="3" borderId="0" xfId="0" applyFont="1" applyFill="1" applyBorder="1" applyProtection="1">
      <protection locked="0"/>
    </xf>
    <xf numFmtId="2" fontId="8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Alignment="1">
      <alignment horizontal="left"/>
    </xf>
    <xf numFmtId="2" fontId="7" fillId="3" borderId="0" xfId="0" applyNumberFormat="1" applyFont="1" applyFill="1" applyBorder="1" applyAlignment="1" applyProtection="1">
      <alignment horizontal="right"/>
      <protection locked="0"/>
    </xf>
    <xf numFmtId="0" fontId="12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164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2" fontId="14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167" fontId="19" fillId="3" borderId="0" xfId="0" applyNumberFormat="1" applyFont="1" applyFill="1" applyBorder="1" applyAlignment="1" applyProtection="1">
      <alignment horizontal="right"/>
      <protection locked="0"/>
    </xf>
    <xf numFmtId="2" fontId="19" fillId="3" borderId="0" xfId="0" applyNumberFormat="1" applyFont="1" applyFill="1" applyBorder="1" applyAlignment="1" applyProtection="1">
      <alignment horizontal="right"/>
      <protection locked="0"/>
    </xf>
    <xf numFmtId="166" fontId="19" fillId="3" borderId="0" xfId="0" applyNumberFormat="1" applyFont="1" applyFill="1" applyBorder="1" applyAlignment="1" applyProtection="1">
      <alignment horizontal="right"/>
      <protection locked="0"/>
    </xf>
    <xf numFmtId="2" fontId="2" fillId="3" borderId="0" xfId="0" applyNumberFormat="1" applyFont="1" applyFill="1" applyBorder="1" applyAlignment="1" applyProtection="1">
      <alignment horizontal="left"/>
      <protection locked="0"/>
    </xf>
    <xf numFmtId="1" fontId="4" fillId="4" borderId="0" xfId="0" applyNumberFormat="1" applyFont="1" applyFill="1" applyBorder="1" applyAlignment="1" applyProtection="1">
      <alignment horizontal="right" vertical="center"/>
      <protection locked="0"/>
    </xf>
    <xf numFmtId="2" fontId="4" fillId="4" borderId="0" xfId="0" applyNumberFormat="1" applyFont="1" applyFill="1" applyBorder="1" applyAlignment="1" applyProtection="1">
      <alignment horizontal="right" vertical="center"/>
      <protection locked="0"/>
    </xf>
    <xf numFmtId="2" fontId="4" fillId="4" borderId="0" xfId="0" applyNumberFormat="1" applyFont="1" applyFill="1" applyBorder="1" applyAlignment="1" applyProtection="1">
      <alignment horizontal="right"/>
      <protection locked="0"/>
    </xf>
    <xf numFmtId="2" fontId="11" fillId="4" borderId="0" xfId="0" applyNumberFormat="1" applyFont="1" applyFill="1" applyBorder="1" applyAlignment="1" applyProtection="1">
      <alignment horizontal="right"/>
      <protection locked="0"/>
    </xf>
    <xf numFmtId="2" fontId="20" fillId="4" borderId="0" xfId="0" applyNumberFormat="1" applyFont="1" applyFill="1" applyBorder="1" applyAlignment="1" applyProtection="1">
      <alignment horizontal="right"/>
      <protection locked="0"/>
    </xf>
    <xf numFmtId="2" fontId="11" fillId="3" borderId="0" xfId="0" applyNumberFormat="1" applyFont="1" applyFill="1" applyBorder="1" applyAlignment="1" applyProtection="1">
      <alignment horizontal="right"/>
      <protection locked="0"/>
    </xf>
    <xf numFmtId="2" fontId="21" fillId="3" borderId="0" xfId="0" applyNumberFormat="1" applyFont="1" applyFill="1" applyBorder="1" applyAlignment="1" applyProtection="1">
      <alignment horizontal="right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2" fillId="3" borderId="0" xfId="0" applyFont="1" applyFill="1" applyAlignment="1">
      <alignment horizontal="right"/>
    </xf>
    <xf numFmtId="0" fontId="15" fillId="2" borderId="2" xfId="0" applyFont="1" applyFill="1" applyBorder="1"/>
    <xf numFmtId="0" fontId="16" fillId="2" borderId="3" xfId="0" applyFont="1" applyFill="1" applyBorder="1"/>
    <xf numFmtId="0" fontId="16" fillId="2" borderId="3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left"/>
    </xf>
    <xf numFmtId="0" fontId="16" fillId="2" borderId="5" xfId="0" applyFont="1" applyFill="1" applyBorder="1"/>
    <xf numFmtId="0" fontId="16" fillId="2" borderId="6" xfId="0" applyFont="1" applyFill="1" applyBorder="1"/>
    <xf numFmtId="14" fontId="16" fillId="2" borderId="6" xfId="0" applyNumberFormat="1" applyFont="1" applyFill="1" applyBorder="1" applyAlignment="1">
      <alignment horizontal="left"/>
    </xf>
    <xf numFmtId="14" fontId="18" fillId="2" borderId="6" xfId="0" applyNumberFormat="1" applyFont="1" applyFill="1" applyBorder="1"/>
    <xf numFmtId="0" fontId="16" fillId="2" borderId="6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left"/>
    </xf>
    <xf numFmtId="11" fontId="19" fillId="3" borderId="0" xfId="0" applyNumberFormat="1" applyFont="1" applyFill="1" applyBorder="1" applyAlignment="1" applyProtection="1">
      <alignment horizontal="right"/>
      <protection locked="0"/>
    </xf>
    <xf numFmtId="0" fontId="10" fillId="3" borderId="0" xfId="0" applyFont="1" applyFill="1"/>
    <xf numFmtId="0" fontId="22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12" fillId="3" borderId="0" xfId="0" applyFont="1" applyFill="1" applyAlignment="1">
      <alignment wrapText="1"/>
    </xf>
    <xf numFmtId="2" fontId="2" fillId="3" borderId="0" xfId="0" applyNumberFormat="1" applyFont="1" applyFill="1"/>
    <xf numFmtId="165" fontId="2" fillId="3" borderId="0" xfId="0" applyNumberFormat="1" applyFont="1" applyFill="1"/>
    <xf numFmtId="2" fontId="4" fillId="3" borderId="0" xfId="0" applyNumberFormat="1" applyFont="1" applyFill="1"/>
    <xf numFmtId="11" fontId="2" fillId="3" borderId="0" xfId="0" applyNumberFormat="1" applyFont="1" applyFill="1" applyBorder="1"/>
    <xf numFmtId="2" fontId="2" fillId="3" borderId="0" xfId="0" applyNumberFormat="1" applyFont="1" applyFill="1" applyBorder="1"/>
    <xf numFmtId="0" fontId="14" fillId="3" borderId="0" xfId="0" quotePrefix="1" applyFont="1" applyFill="1" applyAlignment="1">
      <alignment horizontal="left"/>
    </xf>
    <xf numFmtId="2" fontId="7" fillId="3" borderId="0" xfId="0" applyNumberFormat="1" applyFont="1" applyFill="1"/>
    <xf numFmtId="0" fontId="10" fillId="3" borderId="8" xfId="0" applyFont="1" applyFill="1" applyBorder="1"/>
    <xf numFmtId="0" fontId="2" fillId="3" borderId="8" xfId="0" applyFont="1" applyFill="1" applyBorder="1"/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left"/>
    </xf>
    <xf numFmtId="0" fontId="2" fillId="3" borderId="8" xfId="0" applyFont="1" applyFill="1" applyBorder="1" applyAlignment="1" applyProtection="1">
      <alignment horizontal="left"/>
      <protection locked="0"/>
    </xf>
    <xf numFmtId="2" fontId="2" fillId="3" borderId="8" xfId="0" applyNumberFormat="1" applyFont="1" applyFill="1" applyBorder="1" applyAlignment="1" applyProtection="1">
      <alignment horizontal="right"/>
      <protection locked="0"/>
    </xf>
    <xf numFmtId="2" fontId="2" fillId="3" borderId="8" xfId="0" applyNumberFormat="1" applyFont="1" applyFill="1" applyBorder="1" applyAlignment="1" applyProtection="1">
      <alignment horizontal="center"/>
      <protection locked="0"/>
    </xf>
    <xf numFmtId="2" fontId="14" fillId="3" borderId="8" xfId="0" applyNumberFormat="1" applyFont="1" applyFill="1" applyBorder="1" applyAlignment="1" applyProtection="1">
      <alignment horizontal="left"/>
      <protection locked="0"/>
    </xf>
    <xf numFmtId="2" fontId="20" fillId="3" borderId="0" xfId="0" applyNumberFormat="1" applyFont="1" applyFill="1" applyBorder="1" applyAlignment="1" applyProtection="1">
      <alignment horizontal="right"/>
      <protection locked="0"/>
    </xf>
    <xf numFmtId="0" fontId="9" fillId="3" borderId="0" xfId="0" applyFont="1" applyFill="1"/>
    <xf numFmtId="2" fontId="9" fillId="3" borderId="0" xfId="0" applyNumberFormat="1" applyFont="1" applyFill="1"/>
    <xf numFmtId="0" fontId="2" fillId="5" borderId="0" xfId="0" applyFont="1" applyFill="1"/>
    <xf numFmtId="2" fontId="3" fillId="5" borderId="0" xfId="0" applyNumberFormat="1" applyFont="1" applyFill="1" applyBorder="1" applyAlignment="1" applyProtection="1">
      <alignment horizontal="right"/>
      <protection locked="0"/>
    </xf>
    <xf numFmtId="2" fontId="2" fillId="5" borderId="0" xfId="0" applyNumberFormat="1" applyFont="1" applyFill="1" applyBorder="1" applyAlignment="1" applyProtection="1">
      <alignment horizontal="right"/>
      <protection locked="0"/>
    </xf>
    <xf numFmtId="11" fontId="19" fillId="5" borderId="0" xfId="0" applyNumberFormat="1" applyFont="1" applyFill="1" applyBorder="1" applyAlignment="1" applyProtection="1">
      <alignment horizontal="right"/>
      <protection locked="0"/>
    </xf>
    <xf numFmtId="2" fontId="4" fillId="5" borderId="0" xfId="0" applyNumberFormat="1" applyFont="1" applyFill="1" applyBorder="1" applyAlignment="1" applyProtection="1">
      <alignment horizontal="right" vertical="center"/>
      <protection locked="0"/>
    </xf>
    <xf numFmtId="2" fontId="4" fillId="5" borderId="0" xfId="0" applyNumberFormat="1" applyFont="1" applyFill="1" applyBorder="1" applyAlignment="1" applyProtection="1">
      <alignment horizontal="right"/>
      <protection locked="0"/>
    </xf>
    <xf numFmtId="0" fontId="2" fillId="5" borderId="0" xfId="0" applyFont="1" applyFill="1" applyBorder="1"/>
    <xf numFmtId="2" fontId="24" fillId="3" borderId="0" xfId="0" applyNumberFormat="1" applyFont="1" applyFill="1" applyBorder="1" applyAlignment="1" applyProtection="1">
      <alignment horizontal="left"/>
      <protection locked="0"/>
    </xf>
    <xf numFmtId="2" fontId="27" fillId="3" borderId="0" xfId="0" applyNumberFormat="1" applyFont="1" applyFill="1" applyBorder="1" applyAlignment="1" applyProtection="1">
      <alignment horizontal="right"/>
      <protection locked="0"/>
    </xf>
    <xf numFmtId="1" fontId="4" fillId="3" borderId="0" xfId="0" applyNumberFormat="1" applyFont="1" applyFill="1" applyBorder="1" applyAlignment="1" applyProtection="1">
      <alignment horizontal="right" vertical="center"/>
      <protection locked="0"/>
    </xf>
    <xf numFmtId="2" fontId="4" fillId="3" borderId="0" xfId="0" applyNumberFormat="1" applyFont="1" applyFill="1" applyBorder="1" applyAlignment="1" applyProtection="1">
      <alignment horizontal="right" vertical="center"/>
      <protection locked="0"/>
    </xf>
    <xf numFmtId="0" fontId="10" fillId="3" borderId="8" xfId="0" applyFont="1" applyFill="1" applyBorder="1" applyProtection="1">
      <protection locked="0"/>
    </xf>
    <xf numFmtId="0" fontId="9" fillId="3" borderId="1" xfId="0" applyFont="1" applyFill="1" applyBorder="1"/>
    <xf numFmtId="11" fontId="27" fillId="3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11" fontId="2" fillId="3" borderId="0" xfId="0" applyNumberFormat="1" applyFont="1" applyFill="1"/>
    <xf numFmtId="0" fontId="2" fillId="0" borderId="0" xfId="0" quotePrefix="1" applyFont="1" applyFill="1" applyBorder="1" applyAlignment="1" applyProtection="1">
      <alignment horizontal="left"/>
      <protection locked="0"/>
    </xf>
    <xf numFmtId="168" fontId="29" fillId="3" borderId="0" xfId="0" applyNumberFormat="1" applyFont="1" applyFill="1" applyBorder="1" applyAlignment="1" applyProtection="1">
      <alignment horizontal="right"/>
      <protection locked="0"/>
    </xf>
    <xf numFmtId="2" fontId="3" fillId="5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9" fillId="3" borderId="0" xfId="0" applyFont="1" applyFill="1" applyAlignment="1">
      <alignment horizontal="left"/>
    </xf>
    <xf numFmtId="2" fontId="24" fillId="3" borderId="0" xfId="0" applyNumberFormat="1" applyFont="1" applyFill="1" applyBorder="1" applyAlignment="1" applyProtection="1">
      <alignment horizontal="right"/>
      <protection locked="0"/>
    </xf>
    <xf numFmtId="2" fontId="30" fillId="3" borderId="0" xfId="0" applyNumberFormat="1" applyFont="1" applyFill="1" applyBorder="1" applyAlignment="1" applyProtection="1">
      <alignment horizontal="left"/>
      <protection locked="0"/>
    </xf>
    <xf numFmtId="2" fontId="4" fillId="4" borderId="0" xfId="0" applyNumberFormat="1" applyFont="1" applyFill="1" applyBorder="1"/>
    <xf numFmtId="166" fontId="2" fillId="3" borderId="1" xfId="0" applyNumberFormat="1" applyFont="1" applyFill="1" applyBorder="1"/>
    <xf numFmtId="2" fontId="11" fillId="4" borderId="0" xfId="0" applyNumberFormat="1" applyFont="1" applyFill="1" applyBorder="1" applyAlignment="1" applyProtection="1">
      <alignment horizontal="right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vertical="top"/>
      <protection locked="0"/>
    </xf>
    <xf numFmtId="0" fontId="2" fillId="3" borderId="0" xfId="0" applyFont="1" applyFill="1" applyBorder="1" applyAlignment="1" applyProtection="1">
      <alignment horizontal="left" vertical="top"/>
      <protection locked="0"/>
    </xf>
    <xf numFmtId="168" fontId="27" fillId="3" borderId="0" xfId="0" applyNumberFormat="1" applyFont="1" applyFill="1" applyBorder="1" applyAlignment="1" applyProtection="1">
      <alignment horizontal="right" vertical="top"/>
      <protection locked="0"/>
    </xf>
    <xf numFmtId="2" fontId="2" fillId="3" borderId="0" xfId="0" applyNumberFormat="1" applyFont="1" applyFill="1" applyBorder="1" applyAlignment="1" applyProtection="1">
      <alignment horizontal="center" vertical="top"/>
      <protection locked="0"/>
    </xf>
    <xf numFmtId="2" fontId="14" fillId="3" borderId="0" xfId="0" applyNumberFormat="1" applyFont="1" applyFill="1" applyBorder="1" applyAlignment="1" applyProtection="1">
      <alignment horizontal="left" vertical="top" wrapText="1"/>
      <protection locked="0"/>
    </xf>
    <xf numFmtId="2" fontId="2" fillId="5" borderId="0" xfId="0" applyNumberFormat="1" applyFont="1" applyFill="1" applyBorder="1" applyAlignment="1" applyProtection="1">
      <alignment horizontal="right" vertical="top"/>
      <protection locked="0"/>
    </xf>
    <xf numFmtId="0" fontId="2" fillId="0" borderId="0" xfId="0" applyFont="1" applyFill="1" applyBorder="1" applyAlignment="1" applyProtection="1">
      <alignment horizontal="right"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0" fontId="2" fillId="3" borderId="0" xfId="0" applyFont="1" applyFill="1" applyBorder="1" applyAlignment="1" applyProtection="1">
      <alignment wrapText="1"/>
      <protection locked="0"/>
    </xf>
    <xf numFmtId="0" fontId="15" fillId="2" borderId="9" xfId="0" applyFont="1" applyFill="1" applyBorder="1"/>
    <xf numFmtId="0" fontId="16" fillId="2" borderId="10" xfId="0" applyFont="1" applyFill="1" applyBorder="1"/>
    <xf numFmtId="0" fontId="16" fillId="2" borderId="10" xfId="0" applyFont="1" applyFill="1" applyBorder="1" applyAlignment="1">
      <alignment horizontal="left"/>
    </xf>
    <xf numFmtId="0" fontId="16" fillId="2" borderId="11" xfId="0" applyFont="1" applyFill="1" applyBorder="1"/>
    <xf numFmtId="0" fontId="2" fillId="3" borderId="0" xfId="0" applyFont="1" applyFill="1" applyBorder="1" applyAlignment="1">
      <alignment vertical="center"/>
    </xf>
    <xf numFmtId="0" fontId="9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Alignment="1">
      <alignment horizontal="left" vertical="center"/>
    </xf>
    <xf numFmtId="169" fontId="24" fillId="3" borderId="0" xfId="0" applyNumberFormat="1" applyFont="1" applyFill="1" applyBorder="1" applyAlignment="1" applyProtection="1">
      <alignment horizontal="right"/>
      <protection locked="0"/>
    </xf>
    <xf numFmtId="2" fontId="24" fillId="3" borderId="0" xfId="0" applyNumberFormat="1" applyFont="1" applyFill="1"/>
    <xf numFmtId="0" fontId="2" fillId="6" borderId="0" xfId="0" applyFont="1" applyFill="1" applyBorder="1" applyAlignment="1" applyProtection="1">
      <alignment horizontal="left"/>
      <protection locked="0"/>
    </xf>
    <xf numFmtId="2" fontId="10" fillId="6" borderId="0" xfId="0" applyNumberFormat="1" applyFont="1" applyFill="1" applyBorder="1" applyAlignment="1" applyProtection="1">
      <alignment horizontal="right"/>
      <protection locked="0"/>
    </xf>
    <xf numFmtId="2" fontId="4" fillId="6" borderId="0" xfId="0" applyNumberFormat="1" applyFont="1" applyFill="1" applyBorder="1" applyAlignment="1" applyProtection="1">
      <alignment horizontal="center"/>
      <protection locked="0"/>
    </xf>
    <xf numFmtId="2" fontId="4" fillId="6" borderId="0" xfId="0" applyNumberFormat="1" applyFont="1" applyFill="1" applyBorder="1" applyAlignment="1" applyProtection="1">
      <alignment horizontal="right"/>
      <protection locked="0"/>
    </xf>
    <xf numFmtId="2" fontId="31" fillId="6" borderId="0" xfId="0" applyNumberFormat="1" applyFont="1" applyFill="1" applyBorder="1" applyAlignment="1" applyProtection="1">
      <alignment horizontal="right"/>
      <protection locked="0"/>
    </xf>
    <xf numFmtId="2" fontId="4" fillId="3" borderId="0" xfId="0" applyNumberFormat="1" applyFont="1" applyFill="1" applyBorder="1"/>
    <xf numFmtId="49" fontId="2" fillId="3" borderId="0" xfId="0" applyNumberFormat="1" applyFont="1" applyFill="1"/>
    <xf numFmtId="49" fontId="2" fillId="3" borderId="0" xfId="0" applyNumberFormat="1" applyFont="1" applyFill="1" applyAlignment="1">
      <alignment horizontal="left"/>
    </xf>
    <xf numFmtId="49" fontId="2" fillId="3" borderId="0" xfId="0" applyNumberFormat="1" applyFont="1" applyFill="1" applyAlignment="1">
      <alignment horizontal="center"/>
    </xf>
    <xf numFmtId="49" fontId="14" fillId="3" borderId="0" xfId="0" applyNumberFormat="1" applyFont="1" applyFill="1" applyAlignment="1">
      <alignment horizontal="left"/>
    </xf>
    <xf numFmtId="49" fontId="2" fillId="3" borderId="0" xfId="0" applyNumberFormat="1" applyFont="1" applyFill="1" applyAlignment="1">
      <alignment horizontal="right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horizontal="center"/>
    </xf>
    <xf numFmtId="0" fontId="14" fillId="5" borderId="0" xfId="0" applyFont="1" applyFill="1" applyAlignment="1">
      <alignment horizontal="left"/>
    </xf>
    <xf numFmtId="0" fontId="34" fillId="0" borderId="0" xfId="0" applyFont="1" applyFill="1" applyBorder="1" applyAlignment="1" applyProtection="1">
      <alignment horizontal="right"/>
      <protection locked="0"/>
    </xf>
    <xf numFmtId="0" fontId="4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0" fillId="3" borderId="1" xfId="0" applyNumberFormat="1" applyFont="1" applyFill="1" applyBorder="1" applyAlignment="1" applyProtection="1">
      <alignment horizontal="right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14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Border="1"/>
    <xf numFmtId="0" fontId="16" fillId="2" borderId="12" xfId="0" applyFont="1" applyFill="1" applyBorder="1"/>
    <xf numFmtId="0" fontId="16" fillId="2" borderId="0" xfId="0" applyFont="1" applyFill="1" applyBorder="1"/>
    <xf numFmtId="14" fontId="16" fillId="2" borderId="0" xfId="0" applyNumberFormat="1" applyFont="1" applyFill="1" applyBorder="1" applyAlignment="1">
      <alignment horizontal="left"/>
    </xf>
    <xf numFmtId="14" fontId="18" fillId="2" borderId="13" xfId="0" applyNumberFormat="1" applyFont="1" applyFill="1" applyBorder="1"/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2" fillId="3" borderId="13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0" xfId="0" applyNumberFormat="1" applyFont="1" applyFill="1" applyBorder="1" applyAlignment="1" applyProtection="1">
      <alignment vertical="center"/>
      <protection locked="0"/>
    </xf>
    <xf numFmtId="49" fontId="4" fillId="3" borderId="12" xfId="0" applyNumberFormat="1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/>
    </xf>
    <xf numFmtId="49" fontId="2" fillId="3" borderId="12" xfId="0" applyNumberFormat="1" applyFont="1" applyFill="1" applyBorder="1" applyAlignment="1" applyProtection="1">
      <alignment horizontal="left" vertical="center"/>
      <protection locked="0"/>
    </xf>
    <xf numFmtId="2" fontId="2" fillId="3" borderId="0" xfId="0" applyNumberFormat="1" applyFont="1" applyFill="1" applyBorder="1" applyAlignment="1" applyProtection="1">
      <alignment horizontal="right" vertical="center"/>
      <protection locked="0"/>
    </xf>
    <xf numFmtId="49" fontId="2" fillId="3" borderId="13" xfId="0" applyNumberFormat="1" applyFont="1" applyFill="1" applyBorder="1" applyAlignment="1" applyProtection="1">
      <alignment horizontal="center" vertical="center"/>
      <protection locked="0"/>
    </xf>
    <xf numFmtId="49" fontId="3" fillId="3" borderId="12" xfId="0" applyNumberFormat="1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Border="1" applyAlignment="1" applyProtection="1">
      <alignment horizontal="right" vertical="center"/>
      <protection locked="0"/>
    </xf>
    <xf numFmtId="0" fontId="2" fillId="7" borderId="0" xfId="0" applyFont="1" applyFill="1" applyBorder="1" applyProtection="1">
      <protection locked="0"/>
    </xf>
    <xf numFmtId="0" fontId="2" fillId="7" borderId="0" xfId="0" applyFont="1" applyFill="1" applyBorder="1"/>
    <xf numFmtId="0" fontId="3" fillId="7" borderId="0" xfId="0" applyFont="1" applyFill="1" applyBorder="1" applyProtection="1">
      <protection locked="0"/>
    </xf>
    <xf numFmtId="0" fontId="2" fillId="7" borderId="0" xfId="0" applyFont="1" applyFill="1" applyBorder="1" applyAlignment="1" applyProtection="1">
      <alignment vertical="center"/>
      <protection locked="0"/>
    </xf>
    <xf numFmtId="0" fontId="2" fillId="7" borderId="0" xfId="0" applyFont="1" applyFill="1" applyBorder="1" applyAlignment="1">
      <alignment vertical="center"/>
    </xf>
    <xf numFmtId="0" fontId="24" fillId="7" borderId="17" xfId="0" applyFont="1" applyFill="1" applyBorder="1" applyAlignment="1" applyProtection="1">
      <alignment horizontal="left" vertical="center"/>
      <protection locked="0"/>
    </xf>
    <xf numFmtId="0" fontId="3" fillId="7" borderId="18" xfId="0" applyFont="1" applyFill="1" applyBorder="1" applyProtection="1">
      <protection locked="0"/>
    </xf>
    <xf numFmtId="0" fontId="2" fillId="7" borderId="18" xfId="0" applyFont="1" applyFill="1" applyBorder="1"/>
    <xf numFmtId="0" fontId="2" fillId="7" borderId="19" xfId="0" applyFont="1" applyFill="1" applyBorder="1"/>
    <xf numFmtId="0" fontId="2" fillId="7" borderId="20" xfId="0" applyFont="1" applyFill="1" applyBorder="1" applyAlignment="1" applyProtection="1">
      <alignment horizontal="right"/>
      <protection locked="0"/>
    </xf>
    <xf numFmtId="0" fontId="2" fillId="7" borderId="21" xfId="0" applyFont="1" applyFill="1" applyBorder="1"/>
    <xf numFmtId="0" fontId="2" fillId="7" borderId="20" xfId="0" applyFont="1" applyFill="1" applyBorder="1"/>
    <xf numFmtId="0" fontId="2" fillId="7" borderId="20" xfId="0" applyFont="1" applyFill="1" applyBorder="1" applyAlignment="1" applyProtection="1">
      <alignment horizontal="right" vertical="center"/>
      <protection locked="0"/>
    </xf>
    <xf numFmtId="0" fontId="2" fillId="7" borderId="21" xfId="0" applyFont="1" applyFill="1" applyBorder="1" applyAlignment="1">
      <alignment vertical="center"/>
    </xf>
    <xf numFmtId="49" fontId="33" fillId="8" borderId="12" xfId="0" applyNumberFormat="1" applyFont="1" applyFill="1" applyBorder="1" applyAlignment="1" applyProtection="1">
      <alignment horizontal="left" vertical="center" wrapText="1"/>
      <protection locked="0"/>
    </xf>
    <xf numFmtId="49" fontId="2" fillId="8" borderId="0" xfId="0" applyNumberFormat="1" applyFont="1" applyFill="1" applyBorder="1" applyAlignment="1" applyProtection="1">
      <alignment vertical="center"/>
      <protection locked="0"/>
    </xf>
    <xf numFmtId="2" fontId="2" fillId="8" borderId="0" xfId="0" applyNumberFormat="1" applyFont="1" applyFill="1" applyBorder="1" applyAlignment="1" applyProtection="1">
      <alignment horizontal="right" vertical="center"/>
      <protection locked="0"/>
    </xf>
    <xf numFmtId="49" fontId="2" fillId="8" borderId="13" xfId="0" applyNumberFormat="1" applyFont="1" applyFill="1" applyBorder="1" applyAlignment="1">
      <alignment horizontal="center" vertical="center"/>
    </xf>
    <xf numFmtId="49" fontId="9" fillId="8" borderId="12" xfId="0" applyNumberFormat="1" applyFont="1" applyFill="1" applyBorder="1" applyAlignment="1" applyProtection="1">
      <alignment horizontal="left" vertical="center"/>
      <protection locked="0"/>
    </xf>
    <xf numFmtId="0" fontId="33" fillId="8" borderId="14" xfId="0" applyFont="1" applyFill="1" applyBorder="1" applyAlignment="1" applyProtection="1">
      <alignment horizontal="left" vertical="center" wrapText="1"/>
      <protection locked="0"/>
    </xf>
    <xf numFmtId="0" fontId="2" fillId="8" borderId="15" xfId="0" applyFont="1" applyFill="1" applyBorder="1" applyAlignment="1" applyProtection="1">
      <alignment horizontal="left" vertical="center"/>
      <protection locked="0"/>
    </xf>
    <xf numFmtId="2" fontId="2" fillId="8" borderId="15" xfId="0" applyNumberFormat="1" applyFont="1" applyFill="1" applyBorder="1" applyAlignment="1" applyProtection="1">
      <alignment horizontal="right" vertical="center"/>
      <protection locked="0"/>
    </xf>
    <xf numFmtId="0" fontId="2" fillId="8" borderId="16" xfId="0" applyFont="1" applyFill="1" applyBorder="1" applyAlignment="1">
      <alignment horizontal="center" vertical="center"/>
    </xf>
    <xf numFmtId="2" fontId="4" fillId="9" borderId="0" xfId="0" applyNumberFormat="1" applyFont="1" applyFill="1" applyBorder="1" applyAlignment="1" applyProtection="1">
      <alignment horizontal="right" vertical="center"/>
      <protection locked="0"/>
    </xf>
    <xf numFmtId="0" fontId="2" fillId="3" borderId="13" xfId="0" applyFont="1" applyFill="1" applyBorder="1" applyAlignment="1">
      <alignment horizontal="center" vertical="center"/>
    </xf>
    <xf numFmtId="1" fontId="4" fillId="10" borderId="0" xfId="0" applyNumberFormat="1" applyFont="1" applyFill="1" applyBorder="1"/>
    <xf numFmtId="0" fontId="36" fillId="3" borderId="0" xfId="0" applyFont="1" applyFill="1" applyAlignment="1">
      <alignment horizontal="left"/>
    </xf>
    <xf numFmtId="49" fontId="5" fillId="3" borderId="8" xfId="0" applyNumberFormat="1" applyFont="1" applyFill="1" applyBorder="1" applyProtection="1">
      <protection locked="0"/>
    </xf>
    <xf numFmtId="49" fontId="2" fillId="3" borderId="8" xfId="0" applyNumberFormat="1" applyFont="1" applyFill="1" applyBorder="1" applyProtection="1">
      <protection locked="0"/>
    </xf>
    <xf numFmtId="49" fontId="33" fillId="3" borderId="8" xfId="0" applyNumberFormat="1" applyFont="1" applyFill="1" applyBorder="1" applyAlignment="1" applyProtection="1">
      <alignment horizontal="left"/>
      <protection locked="0"/>
    </xf>
    <xf numFmtId="49" fontId="9" fillId="3" borderId="8" xfId="0" applyNumberFormat="1" applyFont="1" applyFill="1" applyBorder="1" applyAlignment="1" applyProtection="1">
      <alignment horizontal="center"/>
      <protection locked="0"/>
    </xf>
    <xf numFmtId="49" fontId="14" fillId="3" borderId="8" xfId="0" applyNumberFormat="1" applyFont="1" applyFill="1" applyBorder="1" applyAlignment="1" applyProtection="1">
      <alignment horizontal="left"/>
      <protection locked="0"/>
    </xf>
    <xf numFmtId="14" fontId="2" fillId="7" borderId="8" xfId="0" applyNumberFormat="1" applyFont="1" applyFill="1" applyBorder="1" applyAlignment="1" applyProtection="1">
      <alignment horizontal="right"/>
      <protection locked="0"/>
    </xf>
    <xf numFmtId="0" fontId="28" fillId="3" borderId="0" xfId="0" applyFont="1" applyFill="1" applyAlignment="1">
      <alignment horizontal="left" vertical="center" wrapText="1" indent="1"/>
    </xf>
    <xf numFmtId="0" fontId="2" fillId="7" borderId="20" xfId="0" applyFont="1" applyFill="1" applyBorder="1" applyAlignment="1" applyProtection="1">
      <alignment horizontal="left" vertical="top" wrapText="1"/>
      <protection locked="0"/>
    </xf>
    <xf numFmtId="0" fontId="2" fillId="7" borderId="0" xfId="0" applyFont="1" applyFill="1" applyBorder="1" applyAlignment="1" applyProtection="1">
      <alignment horizontal="left" vertical="top" wrapText="1"/>
      <protection locked="0"/>
    </xf>
    <xf numFmtId="0" fontId="2" fillId="7" borderId="21" xfId="0" applyFont="1" applyFill="1" applyBorder="1" applyAlignment="1" applyProtection="1">
      <alignment horizontal="left" vertical="top" wrapText="1"/>
      <protection locked="0"/>
    </xf>
    <xf numFmtId="0" fontId="2" fillId="7" borderId="22" xfId="0" applyFont="1" applyFill="1" applyBorder="1" applyAlignment="1" applyProtection="1">
      <alignment horizontal="left" vertical="top" wrapText="1"/>
      <protection locked="0"/>
    </xf>
    <xf numFmtId="0" fontId="2" fillId="7" borderId="23" xfId="0" applyFont="1" applyFill="1" applyBorder="1" applyAlignment="1" applyProtection="1">
      <alignment horizontal="left" vertical="top" wrapText="1"/>
      <protection locked="0"/>
    </xf>
    <xf numFmtId="0" fontId="2" fillId="7" borderId="24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9" fillId="3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9F9F9"/>
      <color rgb="FFE7FDF1"/>
      <color rgb="FFFEF4FA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22" fmlaLink="D106" horiz="1" max="410" min="356" page="10" val="385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579782</xdr:colOff>
      <xdr:row>45</xdr:row>
      <xdr:rowOff>157370</xdr:rowOff>
    </xdr:from>
    <xdr:to>
      <xdr:col>3</xdr:col>
      <xdr:colOff>579782</xdr:colOff>
      <xdr:row>47</xdr:row>
      <xdr:rowOff>16565</xdr:rowOff>
    </xdr:to>
    <xdr:cxnSp macro="">
      <xdr:nvCxnSpPr>
        <xdr:cNvPr id="2" name="Gerade Verbindung mit Pfeil 1"/>
        <xdr:cNvCxnSpPr/>
      </xdr:nvCxnSpPr>
      <xdr:spPr>
        <a:xfrm>
          <a:off x="3975652" y="9127435"/>
          <a:ext cx="0" cy="190500"/>
        </a:xfrm>
        <a:prstGeom prst="straightConnector1">
          <a:avLst/>
        </a:prstGeom>
        <a:ln w="25400">
          <a:solidFill>
            <a:schemeClr val="accent1">
              <a:lumMod val="75000"/>
            </a:schemeClr>
          </a:solidFill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215347</xdr:colOff>
      <xdr:row>37</xdr:row>
      <xdr:rowOff>24849</xdr:rowOff>
    </xdr:from>
    <xdr:to>
      <xdr:col>13</xdr:col>
      <xdr:colOff>596540</xdr:colOff>
      <xdr:row>42</xdr:row>
      <xdr:rowOff>158493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2543" y="7520610"/>
          <a:ext cx="5085714" cy="961905"/>
        </a:xfrm>
        <a:prstGeom prst="rect">
          <a:avLst/>
        </a:prstGeom>
      </xdr:spPr>
    </xdr:pic>
    <xdr:clientData/>
  </xdr:twoCellAnchor>
  <xdr:twoCellAnchor editAs="oneCell">
    <xdr:from>
      <xdr:col>8</xdr:col>
      <xdr:colOff>41413</xdr:colOff>
      <xdr:row>18</xdr:row>
      <xdr:rowOff>198782</xdr:rowOff>
    </xdr:from>
    <xdr:to>
      <xdr:col>13</xdr:col>
      <xdr:colOff>717844</xdr:colOff>
      <xdr:row>37</xdr:row>
      <xdr:rowOff>31483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58609" y="4265543"/>
          <a:ext cx="5380952" cy="32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105</xdr:row>
          <xdr:rowOff>47625</xdr:rowOff>
        </xdr:from>
        <xdr:to>
          <xdr:col>5</xdr:col>
          <xdr:colOff>9525</xdr:colOff>
          <xdr:row>106</xdr:row>
          <xdr:rowOff>0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autoPageBreaks="0" fitToPage="1"/>
  </sheetPr>
  <dimension ref="A1:N152"/>
  <sheetViews>
    <sheetView showGridLines="0" tabSelected="1" topLeftCell="A127" zoomScale="115" zoomScaleNormal="115" workbookViewId="0">
      <selection activeCell="D4" sqref="D4"/>
    </sheetView>
  </sheetViews>
  <sheetFormatPr baseColWidth="10" defaultRowHeight="12.75" x14ac:dyDescent="0.2"/>
  <cols>
    <col min="1" max="1" width="6.5703125" style="1" customWidth="1"/>
    <col min="2" max="2" width="34.85546875" style="1" customWidth="1"/>
    <col min="3" max="3" width="9.42578125" style="9" customWidth="1"/>
    <col min="4" max="4" width="12.140625" style="1" customWidth="1"/>
    <col min="5" max="5" width="8" style="2" customWidth="1"/>
    <col min="6" max="6" width="21.5703125" style="10" customWidth="1"/>
    <col min="7" max="7" width="2.28515625" style="1" customWidth="1"/>
    <col min="8" max="8" width="5.85546875" style="1" customWidth="1"/>
    <col min="9" max="9" width="28" style="1" customWidth="1"/>
    <col min="10" max="10" width="11.42578125" style="1"/>
    <col min="11" max="11" width="10.140625" style="1" customWidth="1"/>
    <col min="12" max="12" width="9.5703125" style="1" customWidth="1"/>
    <col min="13" max="16384" width="11.42578125" style="1"/>
  </cols>
  <sheetData>
    <row r="1" spans="1:12" ht="13.5" thickBot="1" x14ac:dyDescent="0.25">
      <c r="A1" s="100"/>
      <c r="B1" s="100"/>
      <c r="C1" s="158"/>
      <c r="D1" s="100"/>
      <c r="E1" s="159"/>
      <c r="F1" s="160"/>
      <c r="G1" s="100"/>
    </row>
    <row r="2" spans="1:12" ht="19.5" customHeight="1" thickTop="1" x14ac:dyDescent="0.25">
      <c r="A2" s="64" t="s">
        <v>150</v>
      </c>
      <c r="B2" s="65"/>
      <c r="C2" s="66"/>
      <c r="D2" s="65"/>
      <c r="E2" s="67"/>
      <c r="F2" s="68"/>
      <c r="G2" s="100"/>
      <c r="I2" s="138" t="s">
        <v>141</v>
      </c>
      <c r="J2" s="139"/>
      <c r="K2" s="140"/>
      <c r="L2" s="141"/>
    </row>
    <row r="3" spans="1:12" ht="13.5" thickBot="1" x14ac:dyDescent="0.25">
      <c r="A3" s="69" t="s">
        <v>147</v>
      </c>
      <c r="B3" s="70"/>
      <c r="C3" s="71" t="s">
        <v>22</v>
      </c>
      <c r="D3" s="72">
        <v>45436</v>
      </c>
      <c r="E3" s="73"/>
      <c r="F3" s="74"/>
      <c r="G3" s="100"/>
      <c r="I3" s="168" t="s">
        <v>147</v>
      </c>
      <c r="J3" s="169"/>
      <c r="K3" s="170"/>
      <c r="L3" s="171"/>
    </row>
    <row r="4" spans="1:12" ht="13.5" thickTop="1" x14ac:dyDescent="0.2">
      <c r="A4" s="15" t="s">
        <v>158</v>
      </c>
      <c r="B4" s="11"/>
      <c r="C4" s="12"/>
      <c r="D4" s="11"/>
      <c r="E4" s="13"/>
      <c r="F4" s="14"/>
      <c r="G4" s="100"/>
      <c r="I4" s="180"/>
      <c r="J4" s="181"/>
      <c r="K4" s="181"/>
      <c r="L4" s="182"/>
    </row>
    <row r="5" spans="1:12" ht="6.75" customHeight="1" x14ac:dyDescent="0.2">
      <c r="A5" s="15"/>
      <c r="B5" s="11"/>
      <c r="C5" s="12"/>
      <c r="D5" s="11"/>
      <c r="E5" s="13"/>
      <c r="F5" s="14"/>
      <c r="G5" s="100"/>
      <c r="I5" s="183"/>
      <c r="J5" s="142"/>
      <c r="K5" s="142"/>
      <c r="L5" s="214"/>
    </row>
    <row r="6" spans="1:12" ht="15.75" x14ac:dyDescent="0.25">
      <c r="A6" s="23"/>
      <c r="B6" s="27" t="s">
        <v>90</v>
      </c>
      <c r="C6" s="20"/>
      <c r="D6" s="56">
        <v>1296</v>
      </c>
      <c r="E6" s="22" t="s">
        <v>20</v>
      </c>
      <c r="F6" s="18" t="s">
        <v>34</v>
      </c>
      <c r="G6" s="101"/>
      <c r="H6" s="4"/>
      <c r="I6" s="177" t="s">
        <v>148</v>
      </c>
      <c r="J6" s="178" t="s">
        <v>142</v>
      </c>
      <c r="K6" s="53">
        <v>40.96</v>
      </c>
      <c r="L6" s="174" t="s">
        <v>12</v>
      </c>
    </row>
    <row r="7" spans="1:12" ht="33.75" x14ac:dyDescent="0.2">
      <c r="A7" s="37"/>
      <c r="B7" s="36" t="s">
        <v>49</v>
      </c>
      <c r="C7" s="38" t="s">
        <v>52</v>
      </c>
      <c r="D7" s="52">
        <v>2500</v>
      </c>
      <c r="E7" s="39" t="s">
        <v>1</v>
      </c>
      <c r="F7" s="40" t="s">
        <v>201</v>
      </c>
      <c r="G7" s="101"/>
      <c r="H7" s="4"/>
      <c r="I7" s="175" t="s">
        <v>181</v>
      </c>
      <c r="J7" s="178" t="s">
        <v>143</v>
      </c>
      <c r="K7" s="188">
        <v>75</v>
      </c>
      <c r="L7" s="174" t="s">
        <v>131</v>
      </c>
    </row>
    <row r="8" spans="1:12" ht="56.25" x14ac:dyDescent="0.2">
      <c r="A8" s="42"/>
      <c r="B8" s="43" t="s">
        <v>5</v>
      </c>
      <c r="C8" s="44"/>
      <c r="D8" s="53">
        <v>-15</v>
      </c>
      <c r="E8" s="45" t="s">
        <v>6</v>
      </c>
      <c r="F8" s="46" t="s">
        <v>202</v>
      </c>
      <c r="G8" s="101"/>
      <c r="H8" s="4"/>
      <c r="I8" s="177" t="s">
        <v>144</v>
      </c>
      <c r="J8" s="179" t="s">
        <v>145</v>
      </c>
      <c r="K8" s="185">
        <f>10*LOG10(K7/100)</f>
        <v>-1.2493873660829995</v>
      </c>
      <c r="L8" s="174" t="s">
        <v>6</v>
      </c>
    </row>
    <row r="9" spans="1:12" s="41" customFormat="1" ht="22.5" x14ac:dyDescent="0.2">
      <c r="A9" s="42"/>
      <c r="B9" s="43" t="s">
        <v>97</v>
      </c>
      <c r="C9" s="44" t="s">
        <v>54</v>
      </c>
      <c r="D9" s="53">
        <v>0.3</v>
      </c>
      <c r="E9" s="45" t="s">
        <v>6</v>
      </c>
      <c r="F9" s="46" t="s">
        <v>116</v>
      </c>
      <c r="G9" s="118"/>
      <c r="H9" s="119"/>
      <c r="I9" s="175" t="s">
        <v>180</v>
      </c>
      <c r="J9" s="176" t="s">
        <v>146</v>
      </c>
      <c r="K9" s="213">
        <f>K6+K8</f>
        <v>39.710612633917002</v>
      </c>
      <c r="L9" s="174" t="s">
        <v>12</v>
      </c>
    </row>
    <row r="10" spans="1:12" x14ac:dyDescent="0.2">
      <c r="A10" s="23"/>
      <c r="B10" s="27" t="s">
        <v>7</v>
      </c>
      <c r="C10" s="20"/>
      <c r="D10" s="54">
        <v>0.1</v>
      </c>
      <c r="E10" s="29" t="s">
        <v>6</v>
      </c>
      <c r="F10" s="18" t="s">
        <v>115</v>
      </c>
      <c r="G10" s="101"/>
      <c r="H10" s="4"/>
      <c r="I10" s="184" t="s">
        <v>19</v>
      </c>
      <c r="J10" s="176" t="s">
        <v>179</v>
      </c>
      <c r="K10" s="185">
        <f>D6</f>
        <v>1296</v>
      </c>
      <c r="L10" s="174" t="s">
        <v>20</v>
      </c>
    </row>
    <row r="11" spans="1:12" x14ac:dyDescent="0.2">
      <c r="A11" s="23"/>
      <c r="B11" s="27" t="s">
        <v>114</v>
      </c>
      <c r="C11" s="20" t="s">
        <v>53</v>
      </c>
      <c r="D11" s="54">
        <v>20</v>
      </c>
      <c r="E11" s="29" t="s">
        <v>3</v>
      </c>
      <c r="F11" s="18" t="s">
        <v>42</v>
      </c>
      <c r="G11" s="101"/>
      <c r="H11" s="4"/>
      <c r="I11" s="177" t="s">
        <v>173</v>
      </c>
      <c r="J11" s="178" t="s">
        <v>174</v>
      </c>
      <c r="K11" s="185">
        <f>29979.2458/D6</f>
        <v>23.132134104938274</v>
      </c>
      <c r="L11" s="186" t="s">
        <v>175</v>
      </c>
    </row>
    <row r="12" spans="1:12" ht="6.75" customHeight="1" x14ac:dyDescent="0.25">
      <c r="A12" s="23"/>
      <c r="B12" s="27"/>
      <c r="C12" s="20"/>
      <c r="D12" s="97"/>
      <c r="E12" s="22"/>
      <c r="F12" s="18"/>
      <c r="G12" s="101"/>
      <c r="H12" s="4"/>
      <c r="I12" s="187"/>
      <c r="J12" s="176"/>
      <c r="K12" s="189"/>
      <c r="L12" s="174"/>
    </row>
    <row r="13" spans="1:12" s="41" customFormat="1" ht="24" x14ac:dyDescent="0.2">
      <c r="A13" s="42"/>
      <c r="B13" s="43" t="s">
        <v>184</v>
      </c>
      <c r="C13" s="44" t="s">
        <v>122</v>
      </c>
      <c r="D13" s="126">
        <v>39.71</v>
      </c>
      <c r="E13" s="127" t="s">
        <v>12</v>
      </c>
      <c r="F13" s="46" t="s">
        <v>140</v>
      </c>
      <c r="G13" s="118"/>
      <c r="H13" s="119"/>
      <c r="I13" s="204" t="s">
        <v>187</v>
      </c>
      <c r="J13" s="205" t="s">
        <v>78</v>
      </c>
      <c r="K13" s="206">
        <f>SQRT(10^(K6/10)*(K11/PI())^2)</f>
        <v>822.36729179435679</v>
      </c>
      <c r="L13" s="207" t="s">
        <v>175</v>
      </c>
    </row>
    <row r="14" spans="1:12" x14ac:dyDescent="0.2">
      <c r="A14" s="23"/>
      <c r="B14" s="27" t="s">
        <v>121</v>
      </c>
      <c r="C14" s="20" t="s">
        <v>123</v>
      </c>
      <c r="D14" s="55">
        <v>1</v>
      </c>
      <c r="E14" s="22" t="s">
        <v>6</v>
      </c>
      <c r="F14" s="18"/>
      <c r="G14" s="101"/>
      <c r="H14" s="4"/>
      <c r="I14" s="208" t="s">
        <v>183</v>
      </c>
      <c r="J14" s="205" t="s">
        <v>182</v>
      </c>
      <c r="K14" s="206">
        <f>SQRT(10^((K6-K8)/10)*(K11/PI())^2)</f>
        <v>949.5879545804313</v>
      </c>
      <c r="L14" s="207" t="s">
        <v>175</v>
      </c>
    </row>
    <row r="15" spans="1:12" s="41" customFormat="1" ht="21.75" customHeight="1" thickBot="1" x14ac:dyDescent="0.25">
      <c r="A15" s="42"/>
      <c r="B15" s="43" t="s">
        <v>185</v>
      </c>
      <c r="C15" s="44" t="s">
        <v>124</v>
      </c>
      <c r="D15" s="126">
        <v>39.71</v>
      </c>
      <c r="E15" s="127" t="s">
        <v>12</v>
      </c>
      <c r="F15" s="46" t="s">
        <v>140</v>
      </c>
      <c r="G15" s="118"/>
      <c r="H15" s="119"/>
      <c r="I15" s="209" t="s">
        <v>188</v>
      </c>
      <c r="J15" s="210" t="s">
        <v>176</v>
      </c>
      <c r="K15" s="211">
        <f>70*K11/K13</f>
        <v>1.9690099588136256</v>
      </c>
      <c r="L15" s="212" t="s">
        <v>177</v>
      </c>
    </row>
    <row r="16" spans="1:12" x14ac:dyDescent="0.2">
      <c r="A16" s="23"/>
      <c r="B16" s="27" t="s">
        <v>137</v>
      </c>
      <c r="C16" s="20" t="s">
        <v>125</v>
      </c>
      <c r="D16" s="55">
        <v>1</v>
      </c>
      <c r="E16" s="22" t="s">
        <v>6</v>
      </c>
      <c r="F16" s="18"/>
      <c r="G16" s="101"/>
      <c r="H16" s="4"/>
      <c r="I16" s="172"/>
      <c r="J16" s="3"/>
      <c r="K16" s="3"/>
    </row>
    <row r="17" spans="1:14" ht="7.5" customHeight="1" x14ac:dyDescent="0.25">
      <c r="A17" s="23"/>
      <c r="B17" s="27"/>
      <c r="C17" s="20"/>
      <c r="D17" s="97"/>
      <c r="E17" s="22"/>
      <c r="F17" s="18"/>
      <c r="G17" s="101"/>
      <c r="H17" s="4"/>
      <c r="I17" s="172"/>
      <c r="J17" s="3"/>
      <c r="K17" s="3"/>
    </row>
    <row r="18" spans="1:14" s="41" customFormat="1" ht="23.25" thickBot="1" x14ac:dyDescent="0.25">
      <c r="A18" s="42"/>
      <c r="B18" s="43" t="s">
        <v>14</v>
      </c>
      <c r="C18" s="144" t="s">
        <v>73</v>
      </c>
      <c r="D18" s="53">
        <v>60</v>
      </c>
      <c r="E18" s="127" t="s">
        <v>4</v>
      </c>
      <c r="F18" s="46" t="s">
        <v>136</v>
      </c>
      <c r="G18" s="118"/>
      <c r="H18" s="119"/>
      <c r="I18" s="173"/>
      <c r="J18" s="120"/>
      <c r="K18" s="120"/>
    </row>
    <row r="19" spans="1:14" s="167" customFormat="1" ht="15.75" x14ac:dyDescent="0.25">
      <c r="A19" s="59"/>
      <c r="B19" s="162"/>
      <c r="C19" s="163"/>
      <c r="D19" s="164"/>
      <c r="E19" s="165"/>
      <c r="F19" s="166"/>
      <c r="G19" s="101"/>
      <c r="H19" s="4"/>
      <c r="I19" s="195" t="s">
        <v>186</v>
      </c>
      <c r="J19" s="196"/>
      <c r="K19" s="196"/>
      <c r="L19" s="197"/>
      <c r="M19" s="197"/>
      <c r="N19" s="198"/>
    </row>
    <row r="20" spans="1:14" x14ac:dyDescent="0.2">
      <c r="A20" s="111" t="s">
        <v>0</v>
      </c>
      <c r="B20" s="89"/>
      <c r="C20" s="93"/>
      <c r="D20" s="94"/>
      <c r="E20" s="95"/>
      <c r="F20" s="96"/>
      <c r="G20" s="102"/>
      <c r="H20" s="5"/>
      <c r="I20" s="199"/>
      <c r="J20" s="190"/>
      <c r="K20" s="190"/>
      <c r="L20" s="191"/>
      <c r="M20" s="191"/>
      <c r="N20" s="200"/>
    </row>
    <row r="21" spans="1:14" x14ac:dyDescent="0.2">
      <c r="A21" s="23"/>
      <c r="B21" s="23"/>
      <c r="C21" s="20"/>
      <c r="D21" s="21"/>
      <c r="E21" s="22"/>
      <c r="F21" s="18"/>
      <c r="G21" s="100"/>
      <c r="I21" s="201"/>
      <c r="J21" s="190"/>
      <c r="K21" s="190"/>
      <c r="L21" s="191"/>
      <c r="M21" s="191"/>
      <c r="N21" s="200"/>
    </row>
    <row r="22" spans="1:14" ht="22.5" x14ac:dyDescent="0.2">
      <c r="A22" s="37"/>
      <c r="B22" s="36" t="s">
        <v>49</v>
      </c>
      <c r="C22" s="38" t="s">
        <v>39</v>
      </c>
      <c r="D22" s="109">
        <f>D7</f>
        <v>2500</v>
      </c>
      <c r="E22" s="39" t="s">
        <v>1</v>
      </c>
      <c r="F22" s="40" t="s">
        <v>38</v>
      </c>
      <c r="G22" s="100"/>
      <c r="I22" s="201"/>
      <c r="J22" s="192"/>
      <c r="K22" s="192"/>
      <c r="L22" s="191"/>
      <c r="M22" s="191"/>
      <c r="N22" s="200"/>
    </row>
    <row r="23" spans="1:14" x14ac:dyDescent="0.2">
      <c r="A23" s="16"/>
      <c r="B23" s="16" t="s">
        <v>50</v>
      </c>
      <c r="C23" s="20" t="s">
        <v>151</v>
      </c>
      <c r="D23" s="48">
        <v>1.3804999999999999E-23</v>
      </c>
      <c r="E23" s="25" t="s">
        <v>2</v>
      </c>
      <c r="F23" s="14"/>
      <c r="G23" s="100"/>
      <c r="I23" s="201"/>
      <c r="J23" s="192"/>
      <c r="K23" s="192"/>
      <c r="L23" s="191"/>
      <c r="M23" s="191"/>
      <c r="N23" s="200"/>
    </row>
    <row r="24" spans="1:14" x14ac:dyDescent="0.2">
      <c r="A24" s="16"/>
      <c r="B24" s="16" t="s">
        <v>51</v>
      </c>
      <c r="C24" s="17" t="s">
        <v>56</v>
      </c>
      <c r="D24" s="49">
        <v>290</v>
      </c>
      <c r="E24" s="26" t="s">
        <v>3</v>
      </c>
      <c r="F24" s="14" t="s">
        <v>111</v>
      </c>
      <c r="G24" s="100"/>
      <c r="I24" s="201"/>
      <c r="J24" s="192"/>
      <c r="K24" s="192"/>
      <c r="L24" s="191"/>
      <c r="M24" s="191"/>
      <c r="N24" s="200"/>
    </row>
    <row r="25" spans="1:14" x14ac:dyDescent="0.2">
      <c r="A25" s="16"/>
      <c r="B25" s="16"/>
      <c r="C25" s="17"/>
      <c r="D25" s="49"/>
      <c r="E25" s="26"/>
      <c r="F25" s="14" t="s">
        <v>57</v>
      </c>
      <c r="G25" s="100"/>
      <c r="I25" s="201"/>
      <c r="J25" s="192"/>
      <c r="K25" s="192"/>
      <c r="L25" s="191"/>
      <c r="M25" s="191"/>
      <c r="N25" s="200"/>
    </row>
    <row r="26" spans="1:14" x14ac:dyDescent="0.2">
      <c r="A26" s="16"/>
      <c r="B26" s="16"/>
      <c r="C26" s="17"/>
      <c r="D26" s="49"/>
      <c r="E26" s="26"/>
      <c r="F26" s="14"/>
      <c r="G26" s="100"/>
      <c r="I26" s="201"/>
      <c r="J26" s="192"/>
      <c r="K26" s="192"/>
      <c r="L26" s="191"/>
      <c r="M26" s="191"/>
      <c r="N26" s="200"/>
    </row>
    <row r="27" spans="1:14" x14ac:dyDescent="0.2">
      <c r="A27" s="16"/>
      <c r="B27" s="24" t="s">
        <v>112</v>
      </c>
      <c r="C27" s="17"/>
      <c r="D27" s="49"/>
      <c r="E27" s="26"/>
      <c r="F27" s="14"/>
      <c r="G27" s="100"/>
      <c r="I27" s="201"/>
      <c r="J27" s="192"/>
      <c r="K27" s="192"/>
      <c r="L27" s="191"/>
      <c r="M27" s="191"/>
      <c r="N27" s="200"/>
    </row>
    <row r="28" spans="1:14" x14ac:dyDescent="0.2">
      <c r="A28" s="16"/>
      <c r="B28" s="16"/>
      <c r="C28" s="17"/>
      <c r="D28" s="49"/>
      <c r="E28" s="26"/>
      <c r="F28" s="14"/>
      <c r="G28" s="100"/>
      <c r="I28" s="201"/>
      <c r="J28" s="192"/>
      <c r="K28" s="192"/>
      <c r="L28" s="191"/>
      <c r="M28" s="191"/>
      <c r="N28" s="200"/>
    </row>
    <row r="29" spans="1:14" x14ac:dyDescent="0.2">
      <c r="A29" s="16"/>
      <c r="B29" s="16" t="s">
        <v>29</v>
      </c>
      <c r="C29" s="17"/>
      <c r="D29" s="49">
        <f>-174+10*LOG(D11/D24)+10*LOG(D7)</f>
        <v>-151.63427993562937</v>
      </c>
      <c r="E29" s="26" t="s">
        <v>4</v>
      </c>
      <c r="F29" s="14" t="s">
        <v>59</v>
      </c>
      <c r="G29" s="100"/>
      <c r="I29" s="201"/>
      <c r="J29" s="192"/>
      <c r="K29" s="192"/>
      <c r="L29" s="191"/>
      <c r="M29" s="191"/>
      <c r="N29" s="200"/>
    </row>
    <row r="30" spans="1:14" x14ac:dyDescent="0.2">
      <c r="A30" s="16"/>
      <c r="B30" s="16" t="s">
        <v>28</v>
      </c>
      <c r="C30" s="17"/>
      <c r="D30" s="50">
        <f>(10^(D29/10))/1000</f>
        <v>6.8639167336809718E-19</v>
      </c>
      <c r="E30" s="26" t="s">
        <v>17</v>
      </c>
      <c r="F30" s="14" t="s">
        <v>59</v>
      </c>
      <c r="G30" s="103"/>
      <c r="I30" s="201"/>
      <c r="J30" s="192"/>
      <c r="K30" s="192"/>
      <c r="L30" s="191"/>
      <c r="M30" s="191"/>
      <c r="N30" s="200"/>
    </row>
    <row r="31" spans="1:14" x14ac:dyDescent="0.2">
      <c r="A31" s="16"/>
      <c r="B31" s="16" t="s">
        <v>104</v>
      </c>
      <c r="C31" s="17"/>
      <c r="D31" s="75">
        <f>D23*D24</f>
        <v>4.0034499999999997E-21</v>
      </c>
      <c r="E31" s="26" t="s">
        <v>58</v>
      </c>
      <c r="F31" s="14" t="s">
        <v>60</v>
      </c>
      <c r="G31" s="100"/>
      <c r="I31" s="201"/>
      <c r="J31" s="190"/>
      <c r="K31" s="190"/>
      <c r="L31" s="191"/>
      <c r="M31" s="191"/>
      <c r="N31" s="200"/>
    </row>
    <row r="32" spans="1:14" ht="20.25" customHeight="1" x14ac:dyDescent="0.2">
      <c r="A32" s="23"/>
      <c r="B32" s="23"/>
      <c r="C32" s="20"/>
      <c r="D32" s="21"/>
      <c r="E32" s="22"/>
      <c r="F32" s="14"/>
      <c r="G32" s="102"/>
      <c r="H32" s="5"/>
      <c r="I32" s="199"/>
      <c r="J32" s="190"/>
      <c r="K32" s="190"/>
      <c r="L32" s="191"/>
      <c r="M32" s="191"/>
      <c r="N32" s="200"/>
    </row>
    <row r="33" spans="1:14" x14ac:dyDescent="0.2">
      <c r="A33" s="23"/>
      <c r="B33" s="23" t="s">
        <v>105</v>
      </c>
      <c r="C33" s="20"/>
      <c r="D33" s="21"/>
      <c r="E33" s="22"/>
      <c r="F33" s="18"/>
      <c r="G33" s="102"/>
      <c r="H33" s="5"/>
      <c r="I33" s="199"/>
      <c r="J33" s="190"/>
      <c r="K33" s="190"/>
      <c r="L33" s="191"/>
      <c r="M33" s="191"/>
      <c r="N33" s="200"/>
    </row>
    <row r="34" spans="1:14" s="41" customFormat="1" x14ac:dyDescent="0.2">
      <c r="A34" s="23"/>
      <c r="B34" s="23"/>
      <c r="C34" s="20"/>
      <c r="D34" s="21"/>
      <c r="E34" s="22"/>
      <c r="F34" s="18"/>
      <c r="G34" s="104"/>
      <c r="H34" s="47"/>
      <c r="I34" s="202"/>
      <c r="J34" s="193"/>
      <c r="K34" s="193"/>
      <c r="L34" s="194"/>
      <c r="M34" s="194"/>
      <c r="N34" s="203"/>
    </row>
    <row r="35" spans="1:14" x14ac:dyDescent="0.2">
      <c r="A35" s="42"/>
      <c r="B35" s="43" t="s">
        <v>152</v>
      </c>
      <c r="C35" s="44" t="s">
        <v>153</v>
      </c>
      <c r="D35" s="110">
        <f>D8</f>
        <v>-15</v>
      </c>
      <c r="E35" s="45" t="s">
        <v>6</v>
      </c>
      <c r="F35" s="46" t="s">
        <v>189</v>
      </c>
      <c r="G35" s="105"/>
      <c r="H35" s="5"/>
      <c r="I35" s="199"/>
      <c r="J35" s="190"/>
      <c r="K35" s="190"/>
      <c r="L35" s="191"/>
      <c r="M35" s="191"/>
      <c r="N35" s="200"/>
    </row>
    <row r="36" spans="1:14" x14ac:dyDescent="0.2">
      <c r="A36" s="23"/>
      <c r="B36" s="23"/>
      <c r="C36" s="20"/>
      <c r="D36" s="28"/>
      <c r="E36" s="29"/>
      <c r="F36" s="18"/>
      <c r="G36" s="105"/>
      <c r="H36" s="5"/>
      <c r="I36" s="199"/>
      <c r="J36" s="190"/>
      <c r="K36" s="190"/>
      <c r="L36" s="191"/>
      <c r="M36" s="191"/>
      <c r="N36" s="200"/>
    </row>
    <row r="37" spans="1:14" x14ac:dyDescent="0.2">
      <c r="A37" s="23"/>
      <c r="B37" s="27" t="s">
        <v>97</v>
      </c>
      <c r="C37" s="20" t="s">
        <v>54</v>
      </c>
      <c r="D37" s="28">
        <f>D9</f>
        <v>0.3</v>
      </c>
      <c r="E37" s="29" t="s">
        <v>6</v>
      </c>
      <c r="F37" s="18" t="s">
        <v>48</v>
      </c>
      <c r="G37" s="105"/>
      <c r="H37" s="5"/>
      <c r="I37" s="199"/>
      <c r="J37" s="190"/>
      <c r="K37" s="190"/>
      <c r="L37" s="191"/>
      <c r="M37" s="191"/>
      <c r="N37" s="200"/>
    </row>
    <row r="38" spans="1:14" x14ac:dyDescent="0.2">
      <c r="A38" s="23"/>
      <c r="B38" s="23" t="s">
        <v>98</v>
      </c>
      <c r="C38" s="20" t="s">
        <v>91</v>
      </c>
      <c r="D38" s="30">
        <f>(10^(D37/10)-1)*D24</f>
        <v>20.740598518905859</v>
      </c>
      <c r="E38" s="29" t="s">
        <v>3</v>
      </c>
      <c r="F38" s="18" t="s">
        <v>30</v>
      </c>
      <c r="G38" s="105"/>
      <c r="H38" s="5"/>
      <c r="I38" s="199"/>
      <c r="J38" s="190"/>
      <c r="K38" s="190"/>
      <c r="L38" s="191"/>
      <c r="M38" s="191"/>
      <c r="N38" s="200"/>
    </row>
    <row r="39" spans="1:14" x14ac:dyDescent="0.2">
      <c r="A39" s="23"/>
      <c r="B39" s="23"/>
      <c r="C39" s="20"/>
      <c r="D39" s="28"/>
      <c r="E39" s="29"/>
      <c r="F39" s="18"/>
      <c r="G39" s="105"/>
      <c r="H39" s="5"/>
      <c r="I39" s="199"/>
      <c r="J39" s="190"/>
      <c r="K39" s="190"/>
      <c r="L39" s="191"/>
      <c r="M39" s="191"/>
      <c r="N39" s="200"/>
    </row>
    <row r="40" spans="1:14" x14ac:dyDescent="0.2">
      <c r="A40" s="23"/>
      <c r="B40" s="27" t="s">
        <v>7</v>
      </c>
      <c r="C40" s="20"/>
      <c r="D40" s="28">
        <f>D10</f>
        <v>0.1</v>
      </c>
      <c r="E40" s="29" t="s">
        <v>6</v>
      </c>
      <c r="F40" s="18" t="s">
        <v>31</v>
      </c>
      <c r="G40" s="105"/>
      <c r="H40" s="5"/>
      <c r="I40" s="199"/>
      <c r="J40" s="190"/>
      <c r="K40" s="190"/>
      <c r="L40" s="191"/>
      <c r="M40" s="191"/>
      <c r="N40" s="200"/>
    </row>
    <row r="41" spans="1:14" x14ac:dyDescent="0.2">
      <c r="A41" s="23"/>
      <c r="B41" s="23" t="s">
        <v>8</v>
      </c>
      <c r="C41" s="20" t="s">
        <v>91</v>
      </c>
      <c r="D41" s="30">
        <f>(10^(D40/10)-1)*D24</f>
        <v>6.7549677614186887</v>
      </c>
      <c r="E41" s="29" t="s">
        <v>3</v>
      </c>
      <c r="F41" s="18"/>
      <c r="G41" s="105"/>
      <c r="H41" s="5"/>
      <c r="I41" s="199"/>
      <c r="J41" s="190"/>
      <c r="K41" s="190"/>
      <c r="L41" s="191"/>
      <c r="M41" s="191"/>
      <c r="N41" s="200"/>
    </row>
    <row r="42" spans="1:14" x14ac:dyDescent="0.2">
      <c r="A42" s="23"/>
      <c r="B42" s="23"/>
      <c r="C42" s="20"/>
      <c r="D42" s="30"/>
      <c r="E42" s="29"/>
      <c r="F42" s="18"/>
      <c r="G42" s="105"/>
      <c r="H42" s="5"/>
      <c r="I42" s="199"/>
      <c r="J42" s="190"/>
      <c r="K42" s="190"/>
      <c r="L42" s="191"/>
      <c r="M42" s="191"/>
      <c r="N42" s="200"/>
    </row>
    <row r="43" spans="1:14" ht="14.25" customHeight="1" x14ac:dyDescent="0.2">
      <c r="A43" s="23"/>
      <c r="B43" s="23" t="s">
        <v>101</v>
      </c>
      <c r="C43" s="147" t="s">
        <v>102</v>
      </c>
      <c r="D43" s="148">
        <f>D38+D41</f>
        <v>27.495566280324546</v>
      </c>
      <c r="E43" s="149" t="s">
        <v>3</v>
      </c>
      <c r="F43" s="18"/>
      <c r="G43" s="105"/>
      <c r="H43" s="5"/>
      <c r="I43" s="199"/>
      <c r="J43" s="190"/>
      <c r="K43" s="190"/>
      <c r="L43" s="191"/>
      <c r="M43" s="191"/>
      <c r="N43" s="200"/>
    </row>
    <row r="44" spans="1:14" ht="12.75" customHeight="1" x14ac:dyDescent="0.2">
      <c r="A44" s="23"/>
      <c r="B44" s="23"/>
      <c r="C44" s="147"/>
      <c r="D44" s="150"/>
      <c r="E44" s="149"/>
      <c r="F44" s="18"/>
      <c r="G44" s="105"/>
      <c r="H44" s="5"/>
      <c r="I44" s="224" t="s">
        <v>195</v>
      </c>
      <c r="J44" s="225"/>
      <c r="K44" s="225"/>
      <c r="L44" s="225"/>
      <c r="M44" s="225"/>
      <c r="N44" s="226"/>
    </row>
    <row r="45" spans="1:14" ht="14.25" customHeight="1" x14ac:dyDescent="0.2">
      <c r="A45" s="23"/>
      <c r="B45" s="27" t="s">
        <v>114</v>
      </c>
      <c r="C45" s="147" t="s">
        <v>53</v>
      </c>
      <c r="D45" s="150">
        <v>15</v>
      </c>
      <c r="E45" s="149" t="s">
        <v>3</v>
      </c>
      <c r="F45" s="18" t="s">
        <v>42</v>
      </c>
      <c r="G45" s="105"/>
      <c r="H45" s="5"/>
      <c r="I45" s="224"/>
      <c r="J45" s="225"/>
      <c r="K45" s="225"/>
      <c r="L45" s="225"/>
      <c r="M45" s="225"/>
      <c r="N45" s="226"/>
    </row>
    <row r="46" spans="1:14" x14ac:dyDescent="0.2">
      <c r="A46" s="23"/>
      <c r="B46" s="27" t="s">
        <v>128</v>
      </c>
      <c r="C46" s="147" t="s">
        <v>129</v>
      </c>
      <c r="D46" s="151">
        <f>(10^(D16/10)-1)*D24</f>
        <v>75.08836942030851</v>
      </c>
      <c r="E46" s="149" t="s">
        <v>3</v>
      </c>
      <c r="F46" s="18"/>
      <c r="G46" s="105"/>
      <c r="H46" s="5"/>
      <c r="I46" s="224"/>
      <c r="J46" s="225"/>
      <c r="K46" s="225"/>
      <c r="L46" s="225"/>
      <c r="M46" s="225"/>
      <c r="N46" s="226"/>
    </row>
    <row r="47" spans="1:14" ht="13.5" thickBot="1" x14ac:dyDescent="0.25">
      <c r="A47" s="23"/>
      <c r="B47" s="23"/>
      <c r="C47" s="20"/>
      <c r="D47" s="28"/>
      <c r="E47" s="29"/>
      <c r="F47" s="18"/>
      <c r="G47" s="105"/>
      <c r="H47" s="5"/>
      <c r="I47" s="227"/>
      <c r="J47" s="228"/>
      <c r="K47" s="228"/>
      <c r="L47" s="228"/>
      <c r="M47" s="228"/>
      <c r="N47" s="229"/>
    </row>
    <row r="48" spans="1:14" x14ac:dyDescent="0.2">
      <c r="A48" s="23"/>
      <c r="B48" s="23" t="s">
        <v>93</v>
      </c>
      <c r="C48" s="20" t="s">
        <v>99</v>
      </c>
      <c r="D48" s="30">
        <f>D45+D46+D41+D38</f>
        <v>117.58393570063305</v>
      </c>
      <c r="E48" s="29" t="s">
        <v>3</v>
      </c>
      <c r="F48" s="18" t="s">
        <v>92</v>
      </c>
      <c r="G48" s="105"/>
      <c r="H48" s="5"/>
      <c r="I48" s="114"/>
      <c r="J48" s="6"/>
      <c r="K48" s="6"/>
    </row>
    <row r="49" spans="1:11" x14ac:dyDescent="0.2">
      <c r="A49" s="23"/>
      <c r="B49" s="23" t="s">
        <v>94</v>
      </c>
      <c r="C49" s="20" t="s">
        <v>100</v>
      </c>
      <c r="D49" s="30">
        <f>10*LOG10(D48/D24+1)</f>
        <v>1.4781906071792621</v>
      </c>
      <c r="E49" s="29" t="s">
        <v>6</v>
      </c>
      <c r="F49" s="18" t="s">
        <v>92</v>
      </c>
      <c r="G49" s="105"/>
      <c r="H49" s="5"/>
      <c r="I49" s="5"/>
      <c r="J49" s="6"/>
      <c r="K49" s="6"/>
    </row>
    <row r="50" spans="1:11" x14ac:dyDescent="0.2">
      <c r="A50" s="23"/>
      <c r="B50" s="23"/>
      <c r="C50" s="20"/>
      <c r="D50" s="28"/>
      <c r="E50" s="29"/>
      <c r="F50" s="18"/>
      <c r="G50" s="100"/>
      <c r="I50" s="167"/>
      <c r="J50" s="6"/>
      <c r="K50" s="6"/>
    </row>
    <row r="51" spans="1:11" x14ac:dyDescent="0.2">
      <c r="A51" s="23"/>
      <c r="B51" s="23" t="s">
        <v>9</v>
      </c>
      <c r="C51" s="33" t="s">
        <v>119</v>
      </c>
      <c r="D51" s="30">
        <f>D29+D49</f>
        <v>-150.15608932845009</v>
      </c>
      <c r="E51" s="29" t="s">
        <v>4</v>
      </c>
      <c r="F51" s="14"/>
      <c r="G51" s="100"/>
      <c r="I51" s="167"/>
      <c r="J51" s="6"/>
      <c r="K51" s="6"/>
    </row>
    <row r="52" spans="1:11" x14ac:dyDescent="0.2">
      <c r="A52" s="23"/>
      <c r="B52" s="23"/>
      <c r="C52" s="33" t="s">
        <v>119</v>
      </c>
      <c r="D52" s="50">
        <f>(10^(D51/10))/1000</f>
        <v>9.6469730918453107E-19</v>
      </c>
      <c r="E52" s="29" t="s">
        <v>40</v>
      </c>
      <c r="F52" s="14"/>
      <c r="G52" s="100"/>
      <c r="I52" s="5"/>
      <c r="J52" s="6"/>
      <c r="K52" s="6"/>
    </row>
    <row r="53" spans="1:11" s="7" customFormat="1" x14ac:dyDescent="0.2">
      <c r="A53" s="23"/>
      <c r="B53" s="23"/>
      <c r="C53" s="20"/>
      <c r="D53" s="28"/>
      <c r="E53" s="29"/>
      <c r="F53" s="14"/>
      <c r="G53" s="100"/>
      <c r="H53" s="1"/>
      <c r="I53" s="5"/>
      <c r="J53" s="6"/>
      <c r="K53" s="6"/>
    </row>
    <row r="54" spans="1:11" ht="15.75" x14ac:dyDescent="0.25">
      <c r="A54" s="23"/>
      <c r="B54" s="31" t="s">
        <v>10</v>
      </c>
      <c r="C54" s="20" t="s">
        <v>108</v>
      </c>
      <c r="D54" s="32">
        <f>D51+D35</f>
        <v>-165.15608932845009</v>
      </c>
      <c r="E54" s="29" t="s">
        <v>4</v>
      </c>
      <c r="F54" s="14" t="s">
        <v>41</v>
      </c>
      <c r="G54" s="106"/>
      <c r="I54" s="5"/>
      <c r="J54" s="6"/>
      <c r="K54" s="6"/>
    </row>
    <row r="55" spans="1:11" x14ac:dyDescent="0.2">
      <c r="A55" s="59"/>
      <c r="B55" s="112" t="s">
        <v>133</v>
      </c>
      <c r="C55" s="60" t="s">
        <v>108</v>
      </c>
      <c r="D55" s="125">
        <f>(10^(D54/10))/1000</f>
        <v>3.050640749658791E-20</v>
      </c>
      <c r="E55" s="61" t="s">
        <v>40</v>
      </c>
      <c r="F55" s="62" t="s">
        <v>41</v>
      </c>
      <c r="G55" s="100"/>
      <c r="I55" s="5"/>
      <c r="J55" s="6"/>
      <c r="K55" s="6"/>
    </row>
    <row r="56" spans="1:11" x14ac:dyDescent="0.2">
      <c r="A56" s="19" t="s">
        <v>89</v>
      </c>
      <c r="B56" s="11"/>
      <c r="C56" s="20"/>
      <c r="D56" s="21"/>
      <c r="E56" s="22"/>
      <c r="F56" s="14"/>
      <c r="G56" s="102"/>
      <c r="H56" s="5"/>
      <c r="I56" s="5"/>
      <c r="J56" s="6"/>
      <c r="K56" s="6"/>
    </row>
    <row r="57" spans="1:11" x14ac:dyDescent="0.2">
      <c r="A57" s="23"/>
      <c r="B57" s="23"/>
      <c r="C57" s="20"/>
      <c r="D57" s="21"/>
      <c r="E57" s="22"/>
      <c r="F57" s="18"/>
      <c r="G57" s="102"/>
      <c r="H57" s="5"/>
      <c r="I57" s="5"/>
      <c r="J57" s="6"/>
      <c r="K57" s="6"/>
    </row>
    <row r="58" spans="1:11" x14ac:dyDescent="0.2">
      <c r="A58" s="23"/>
      <c r="B58" s="27" t="s">
        <v>126</v>
      </c>
      <c r="C58" s="20"/>
      <c r="D58" s="57">
        <f>D13-D14</f>
        <v>38.71</v>
      </c>
      <c r="E58" s="22" t="s">
        <v>12</v>
      </c>
      <c r="F58" s="18" t="s">
        <v>106</v>
      </c>
      <c r="G58" s="102"/>
      <c r="H58" s="5"/>
      <c r="I58" s="5"/>
      <c r="J58" s="6"/>
      <c r="K58" s="6"/>
    </row>
    <row r="59" spans="1:11" x14ac:dyDescent="0.2">
      <c r="A59" s="23"/>
      <c r="B59" s="27"/>
      <c r="C59" s="20"/>
      <c r="D59" s="57">
        <f>(10^(D58/10))</f>
        <v>7430.1913789670216</v>
      </c>
      <c r="E59" s="22"/>
      <c r="F59" s="18" t="s">
        <v>43</v>
      </c>
      <c r="G59" s="102"/>
      <c r="H59" s="5"/>
      <c r="I59" s="5"/>
      <c r="J59" s="6"/>
      <c r="K59" s="6"/>
    </row>
    <row r="60" spans="1:11" x14ac:dyDescent="0.2">
      <c r="A60" s="23"/>
      <c r="B60" s="27" t="s">
        <v>127</v>
      </c>
      <c r="C60" s="20"/>
      <c r="D60" s="57">
        <f>D15-D16</f>
        <v>38.71</v>
      </c>
      <c r="E60" s="22" t="s">
        <v>12</v>
      </c>
      <c r="F60" s="18" t="s">
        <v>106</v>
      </c>
      <c r="G60" s="102"/>
      <c r="H60" s="5"/>
      <c r="I60" s="5"/>
      <c r="J60" s="6"/>
      <c r="K60" s="6"/>
    </row>
    <row r="61" spans="1:11" x14ac:dyDescent="0.2">
      <c r="A61" s="23"/>
      <c r="B61" s="27"/>
      <c r="C61" s="20"/>
      <c r="D61" s="57">
        <f>(10^(D60/10))</f>
        <v>7430.1913789670216</v>
      </c>
      <c r="E61" s="22"/>
      <c r="F61" s="18" t="s">
        <v>43</v>
      </c>
      <c r="G61" s="102"/>
      <c r="H61" s="5"/>
      <c r="I61" s="5"/>
      <c r="J61" s="6"/>
      <c r="K61" s="6"/>
    </row>
    <row r="62" spans="1:11" x14ac:dyDescent="0.2">
      <c r="A62" s="23"/>
      <c r="B62" s="23"/>
      <c r="C62" s="20"/>
      <c r="D62" s="21"/>
      <c r="E62" s="22"/>
      <c r="F62" s="18"/>
      <c r="G62" s="102"/>
      <c r="H62" s="5"/>
      <c r="I62" s="5"/>
      <c r="J62" s="6"/>
      <c r="K62" s="6"/>
    </row>
    <row r="63" spans="1:11" x14ac:dyDescent="0.2">
      <c r="A63" s="23"/>
      <c r="B63" s="27" t="s">
        <v>14</v>
      </c>
      <c r="C63" s="33" t="s">
        <v>73</v>
      </c>
      <c r="D63" s="28">
        <f>D18</f>
        <v>60</v>
      </c>
      <c r="E63" s="22" t="s">
        <v>4</v>
      </c>
      <c r="F63" s="18" t="s">
        <v>47</v>
      </c>
      <c r="G63" s="102"/>
      <c r="H63" s="5"/>
      <c r="I63" s="5"/>
      <c r="J63" s="6"/>
      <c r="K63" s="6"/>
    </row>
    <row r="64" spans="1:11" x14ac:dyDescent="0.2">
      <c r="A64" s="23"/>
      <c r="B64" s="23"/>
      <c r="C64" s="20" t="s">
        <v>15</v>
      </c>
      <c r="D64" s="21">
        <f>-(30-D63)</f>
        <v>30</v>
      </c>
      <c r="E64" s="22" t="s">
        <v>16</v>
      </c>
      <c r="F64" s="18" t="s">
        <v>32</v>
      </c>
      <c r="G64" s="102"/>
      <c r="H64" s="5"/>
      <c r="I64" s="5"/>
      <c r="J64" s="6"/>
      <c r="K64" s="6"/>
    </row>
    <row r="65" spans="1:11" x14ac:dyDescent="0.2">
      <c r="A65" s="23"/>
      <c r="B65" s="23"/>
      <c r="C65" s="20" t="s">
        <v>15</v>
      </c>
      <c r="D65" s="21">
        <f>(10^(D64/10))</f>
        <v>1000</v>
      </c>
      <c r="E65" s="22" t="s">
        <v>17</v>
      </c>
      <c r="F65" s="18"/>
      <c r="G65" s="102"/>
      <c r="H65" s="5"/>
      <c r="I65" s="5"/>
      <c r="J65" s="6"/>
      <c r="K65" s="6"/>
    </row>
    <row r="66" spans="1:11" x14ac:dyDescent="0.2">
      <c r="A66" s="23"/>
      <c r="B66" s="23"/>
      <c r="C66" s="20"/>
      <c r="D66" s="21"/>
      <c r="E66" s="22"/>
      <c r="F66" s="18"/>
      <c r="G66" s="102"/>
      <c r="H66" s="5"/>
      <c r="I66" s="5"/>
      <c r="J66" s="6"/>
      <c r="K66" s="6"/>
    </row>
    <row r="67" spans="1:11" x14ac:dyDescent="0.2">
      <c r="A67" s="23"/>
      <c r="B67" s="27" t="s">
        <v>18</v>
      </c>
      <c r="C67" s="20"/>
      <c r="D67" s="21">
        <f>D54</f>
        <v>-165.15608932845009</v>
      </c>
      <c r="E67" s="22" t="s">
        <v>4</v>
      </c>
      <c r="F67" s="18" t="s">
        <v>33</v>
      </c>
      <c r="G67" s="102"/>
      <c r="H67" s="5"/>
      <c r="I67" s="5"/>
      <c r="J67" s="6"/>
      <c r="K67" s="6"/>
    </row>
    <row r="68" spans="1:11" x14ac:dyDescent="0.2">
      <c r="A68" s="23"/>
      <c r="B68" s="23"/>
      <c r="C68" s="20"/>
      <c r="D68" s="21"/>
      <c r="E68" s="22"/>
      <c r="F68" s="18"/>
      <c r="G68" s="102"/>
      <c r="H68" s="5"/>
      <c r="I68" s="5"/>
      <c r="J68" s="6"/>
      <c r="K68" s="6"/>
    </row>
    <row r="69" spans="1:11" x14ac:dyDescent="0.2">
      <c r="A69" s="23"/>
      <c r="B69" s="27" t="s">
        <v>103</v>
      </c>
      <c r="C69" s="20"/>
      <c r="D69" s="21">
        <f>D6</f>
        <v>1296</v>
      </c>
      <c r="E69" s="22" t="s">
        <v>20</v>
      </c>
      <c r="F69" s="18" t="s">
        <v>34</v>
      </c>
      <c r="G69" s="102"/>
      <c r="H69" s="5"/>
      <c r="I69" s="5"/>
      <c r="J69" s="6"/>
      <c r="K69" s="6"/>
    </row>
    <row r="70" spans="1:11" x14ac:dyDescent="0.2">
      <c r="A70" s="23"/>
      <c r="B70" s="23"/>
      <c r="C70" s="20"/>
      <c r="D70" s="21"/>
      <c r="E70" s="22"/>
      <c r="F70" s="18"/>
      <c r="G70" s="102"/>
      <c r="H70" s="5"/>
      <c r="I70" s="5"/>
      <c r="J70" s="6"/>
      <c r="K70" s="6"/>
    </row>
    <row r="71" spans="1:11" x14ac:dyDescent="0.2">
      <c r="A71" s="23"/>
      <c r="B71" s="23" t="s">
        <v>21</v>
      </c>
      <c r="C71" s="20"/>
      <c r="D71" s="21"/>
      <c r="E71" s="22"/>
      <c r="F71" s="18"/>
      <c r="G71" s="102"/>
      <c r="H71" s="5"/>
      <c r="I71" s="5"/>
      <c r="J71" s="6"/>
      <c r="K71" s="6"/>
    </row>
    <row r="72" spans="1:11" x14ac:dyDescent="0.2">
      <c r="A72" s="23"/>
      <c r="B72" s="23" t="s">
        <v>27</v>
      </c>
      <c r="C72" s="20"/>
      <c r="D72" s="21"/>
      <c r="E72" s="22"/>
      <c r="F72" s="18"/>
      <c r="G72" s="102"/>
      <c r="H72" s="5"/>
      <c r="I72" s="5"/>
      <c r="J72" s="6"/>
      <c r="K72" s="6"/>
    </row>
    <row r="73" spans="1:11" x14ac:dyDescent="0.2">
      <c r="A73" s="23"/>
      <c r="B73" s="23"/>
      <c r="C73" s="20" t="s">
        <v>26</v>
      </c>
      <c r="D73" s="34">
        <f>(D58+D60+D63-D67)</f>
        <v>302.57608932845011</v>
      </c>
      <c r="E73" s="22" t="s">
        <v>6</v>
      </c>
      <c r="F73" s="18" t="s">
        <v>35</v>
      </c>
      <c r="G73" s="102"/>
      <c r="H73" s="5"/>
      <c r="I73" s="5"/>
      <c r="J73" s="6"/>
      <c r="K73" s="6"/>
    </row>
    <row r="74" spans="1:11" x14ac:dyDescent="0.2">
      <c r="A74" s="23"/>
      <c r="B74" s="23"/>
      <c r="C74" s="20"/>
      <c r="D74" s="21"/>
      <c r="E74" s="22"/>
      <c r="F74" s="18"/>
      <c r="G74" s="102"/>
      <c r="H74" s="5"/>
      <c r="I74" s="5"/>
      <c r="J74" s="6"/>
      <c r="K74" s="6"/>
    </row>
    <row r="75" spans="1:11" x14ac:dyDescent="0.2">
      <c r="A75" s="23"/>
      <c r="B75" s="35" t="s">
        <v>23</v>
      </c>
      <c r="C75" s="20"/>
      <c r="D75" s="21"/>
      <c r="E75" s="22"/>
      <c r="F75" s="18"/>
      <c r="G75" s="102"/>
      <c r="H75" s="5"/>
      <c r="I75" s="5"/>
      <c r="J75" s="6"/>
      <c r="K75" s="6"/>
    </row>
    <row r="76" spans="1:11" s="8" customFormat="1" x14ac:dyDescent="0.2">
      <c r="A76" s="23"/>
      <c r="B76" s="23"/>
      <c r="C76" s="20"/>
      <c r="D76" s="21"/>
      <c r="E76" s="22"/>
      <c r="F76" s="18"/>
      <c r="G76" s="102"/>
      <c r="H76" s="5"/>
      <c r="I76" s="5"/>
      <c r="J76" s="6"/>
      <c r="K76" s="6"/>
    </row>
    <row r="77" spans="1:11" x14ac:dyDescent="0.2">
      <c r="A77" s="23"/>
      <c r="B77" s="23" t="s">
        <v>24</v>
      </c>
      <c r="C77" s="20" t="s">
        <v>25</v>
      </c>
      <c r="D77" s="117">
        <f>10^((D73-32.45-20*LOG(D69))/20)</f>
        <v>24757082556.205853</v>
      </c>
      <c r="E77" s="22" t="s">
        <v>37</v>
      </c>
      <c r="F77" s="18" t="s">
        <v>36</v>
      </c>
      <c r="G77" s="102"/>
      <c r="H77" s="5"/>
      <c r="I77" s="5"/>
      <c r="J77" s="6"/>
      <c r="K77" s="6"/>
    </row>
    <row r="78" spans="1:11" x14ac:dyDescent="0.2">
      <c r="A78" s="23"/>
      <c r="B78" s="23"/>
      <c r="C78" s="20" t="s">
        <v>25</v>
      </c>
      <c r="D78" s="113">
        <f>D77/1000000</f>
        <v>24757.082556205853</v>
      </c>
      <c r="E78" s="22" t="s">
        <v>113</v>
      </c>
      <c r="F78" s="18"/>
      <c r="G78" s="102"/>
      <c r="H78" s="5"/>
      <c r="I78" s="5"/>
      <c r="J78" s="6"/>
      <c r="K78" s="6"/>
    </row>
    <row r="79" spans="1:11" s="136" customFormat="1" ht="22.5" x14ac:dyDescent="0.2">
      <c r="A79" s="128"/>
      <c r="B79" s="128"/>
      <c r="C79" s="129" t="s">
        <v>25</v>
      </c>
      <c r="D79" s="130">
        <f>D78/150</f>
        <v>165.04721704137236</v>
      </c>
      <c r="E79" s="131" t="s">
        <v>120</v>
      </c>
      <c r="F79" s="132" t="s">
        <v>138</v>
      </c>
      <c r="G79" s="133"/>
      <c r="H79" s="134"/>
      <c r="I79" s="134"/>
      <c r="J79" s="135"/>
      <c r="K79" s="135"/>
    </row>
    <row r="80" spans="1:11" x14ac:dyDescent="0.2">
      <c r="A80" s="23"/>
      <c r="B80" s="23" t="s">
        <v>109</v>
      </c>
      <c r="C80" s="20" t="s">
        <v>110</v>
      </c>
      <c r="D80" s="108">
        <f>D63+D58-(20*LOG(D77)+20*LOG(D69)+32.45)</f>
        <v>-203.8660893284501</v>
      </c>
      <c r="E80" s="22" t="s">
        <v>4</v>
      </c>
      <c r="F80" s="18"/>
      <c r="G80" s="102"/>
      <c r="H80" s="5"/>
      <c r="I80" s="5"/>
      <c r="J80" s="6"/>
      <c r="K80" s="6"/>
    </row>
    <row r="81" spans="1:11" x14ac:dyDescent="0.2">
      <c r="A81" s="23"/>
      <c r="B81" s="23"/>
      <c r="C81" s="20" t="s">
        <v>110</v>
      </c>
      <c r="D81" s="113">
        <f>(10^(D80/10))/1000</f>
        <v>4.105736439433243E-24</v>
      </c>
      <c r="E81" s="22" t="s">
        <v>40</v>
      </c>
      <c r="F81" s="18"/>
      <c r="G81" s="102"/>
      <c r="H81" s="5"/>
      <c r="I81" s="5"/>
      <c r="J81" s="6"/>
      <c r="K81" s="6"/>
    </row>
    <row r="82" spans="1:11" x14ac:dyDescent="0.2">
      <c r="A82" s="23"/>
      <c r="B82" s="23"/>
      <c r="C82" s="20"/>
      <c r="D82" s="113"/>
      <c r="E82" s="22"/>
      <c r="F82" s="18"/>
      <c r="G82" s="102"/>
      <c r="H82" s="5"/>
      <c r="I82" s="5"/>
      <c r="J82" s="6"/>
      <c r="K82" s="6"/>
    </row>
    <row r="83" spans="1:11" x14ac:dyDescent="0.2">
      <c r="A83" s="88" t="s">
        <v>157</v>
      </c>
      <c r="B83" s="89"/>
      <c r="C83" s="90"/>
      <c r="D83" s="89"/>
      <c r="E83" s="91"/>
      <c r="F83" s="92"/>
      <c r="G83" s="102"/>
      <c r="H83" s="5"/>
      <c r="I83" s="5"/>
      <c r="J83" s="6"/>
      <c r="K83" s="6"/>
    </row>
    <row r="84" spans="1:11" x14ac:dyDescent="0.2">
      <c r="A84" s="23"/>
      <c r="B84" s="23"/>
      <c r="C84" s="20"/>
      <c r="D84" s="58"/>
      <c r="E84" s="51"/>
      <c r="F84" s="18"/>
      <c r="G84" s="102"/>
      <c r="H84" s="5"/>
      <c r="I84" s="5"/>
      <c r="J84" s="6"/>
      <c r="K84" s="6"/>
    </row>
    <row r="85" spans="1:11" x14ac:dyDescent="0.2">
      <c r="A85" s="76" t="s">
        <v>61</v>
      </c>
      <c r="B85" s="23"/>
      <c r="C85" s="20"/>
      <c r="D85" s="58"/>
      <c r="E85" s="51"/>
      <c r="F85" s="18"/>
      <c r="G85" s="102"/>
      <c r="H85" s="5"/>
      <c r="I85" s="5"/>
      <c r="J85" s="6"/>
      <c r="K85" s="6"/>
    </row>
    <row r="86" spans="1:11" x14ac:dyDescent="0.2">
      <c r="A86" s="23"/>
      <c r="B86" s="23"/>
      <c r="C86" s="20"/>
      <c r="D86" s="58"/>
      <c r="E86" s="51"/>
      <c r="F86" s="18"/>
      <c r="G86" s="102"/>
      <c r="H86" s="5"/>
      <c r="I86" s="5"/>
      <c r="J86" s="6"/>
      <c r="K86" s="6"/>
    </row>
    <row r="87" spans="1:11" x14ac:dyDescent="0.2">
      <c r="A87" s="23"/>
      <c r="B87" s="77" t="s">
        <v>62</v>
      </c>
      <c r="C87" s="33"/>
      <c r="D87" s="11"/>
      <c r="E87" s="13"/>
      <c r="F87" s="14"/>
      <c r="G87" s="102"/>
      <c r="H87" s="5"/>
      <c r="I87" s="5"/>
      <c r="J87" s="6"/>
      <c r="K87" s="6"/>
    </row>
    <row r="88" spans="1:11" x14ac:dyDescent="0.2">
      <c r="A88" s="23"/>
      <c r="B88" s="78" t="s">
        <v>63</v>
      </c>
      <c r="C88" s="33"/>
      <c r="D88" s="11"/>
      <c r="E88" s="13"/>
      <c r="F88" s="14"/>
      <c r="G88" s="102"/>
      <c r="H88" s="5"/>
      <c r="I88" s="5"/>
      <c r="J88" s="6"/>
      <c r="K88" s="6"/>
    </row>
    <row r="89" spans="1:11" x14ac:dyDescent="0.2">
      <c r="A89" s="23"/>
      <c r="B89" s="78" t="s">
        <v>64</v>
      </c>
      <c r="C89" s="33"/>
      <c r="D89" s="11"/>
      <c r="E89" s="13"/>
      <c r="F89" s="14"/>
      <c r="G89" s="102"/>
      <c r="H89" s="5"/>
      <c r="I89" s="5"/>
      <c r="J89" s="6"/>
      <c r="K89" s="6"/>
    </row>
    <row r="90" spans="1:11" x14ac:dyDescent="0.2">
      <c r="A90" s="23"/>
      <c r="B90" s="78" t="s">
        <v>65</v>
      </c>
      <c r="C90" s="33"/>
      <c r="D90" s="11"/>
      <c r="E90" s="13"/>
      <c r="F90" s="14"/>
      <c r="G90" s="102"/>
      <c r="H90" s="5"/>
      <c r="I90" s="5"/>
      <c r="J90" s="6"/>
      <c r="K90" s="6"/>
    </row>
    <row r="91" spans="1:11" x14ac:dyDescent="0.2">
      <c r="A91" s="23"/>
      <c r="B91" s="78" t="s">
        <v>66</v>
      </c>
      <c r="C91" s="33"/>
      <c r="D91" s="11"/>
      <c r="E91" s="13"/>
      <c r="F91" s="14"/>
      <c r="G91" s="102"/>
      <c r="H91" s="5"/>
      <c r="I91" s="5"/>
      <c r="J91" s="6"/>
      <c r="K91" s="6"/>
    </row>
    <row r="92" spans="1:11" x14ac:dyDescent="0.2">
      <c r="A92" s="23"/>
      <c r="B92" s="78" t="s">
        <v>67</v>
      </c>
      <c r="C92" s="33"/>
      <c r="D92" s="11"/>
      <c r="E92" s="13"/>
      <c r="F92" s="14"/>
      <c r="G92" s="102"/>
      <c r="H92" s="5"/>
      <c r="I92" s="5"/>
      <c r="J92" s="6"/>
      <c r="K92" s="6"/>
    </row>
    <row r="93" spans="1:11" x14ac:dyDescent="0.2">
      <c r="A93" s="23"/>
      <c r="B93" s="78" t="s">
        <v>68</v>
      </c>
      <c r="C93" s="33"/>
      <c r="D93" s="11"/>
      <c r="E93" s="13"/>
      <c r="F93" s="14"/>
      <c r="G93" s="102"/>
      <c r="H93" s="5"/>
      <c r="I93" s="5"/>
      <c r="J93" s="6"/>
      <c r="K93" s="6"/>
    </row>
    <row r="94" spans="1:11" x14ac:dyDescent="0.2">
      <c r="A94" s="23"/>
      <c r="B94" s="78" t="s">
        <v>69</v>
      </c>
      <c r="C94" s="33"/>
      <c r="D94" s="11"/>
      <c r="E94" s="13"/>
      <c r="F94" s="14"/>
      <c r="G94" s="102"/>
      <c r="H94" s="5"/>
      <c r="I94" s="5"/>
      <c r="J94" s="6"/>
      <c r="K94" s="6"/>
    </row>
    <row r="95" spans="1:11" x14ac:dyDescent="0.2">
      <c r="A95" s="23"/>
      <c r="B95" s="78"/>
      <c r="C95" s="33"/>
      <c r="D95" s="11"/>
      <c r="E95" s="13"/>
      <c r="F95" s="14"/>
      <c r="G95" s="102"/>
      <c r="H95" s="5"/>
      <c r="I95" s="5"/>
      <c r="J95" s="6"/>
      <c r="K95" s="6"/>
    </row>
    <row r="96" spans="1:11" x14ac:dyDescent="0.2">
      <c r="A96" s="23"/>
      <c r="B96" s="79" t="s">
        <v>87</v>
      </c>
      <c r="C96" s="33"/>
      <c r="D96" s="11"/>
      <c r="E96" s="13"/>
      <c r="F96" s="14"/>
      <c r="G96" s="102"/>
      <c r="H96" s="5"/>
      <c r="I96" s="5"/>
      <c r="J96" s="6"/>
      <c r="K96" s="6"/>
    </row>
    <row r="97" spans="1:11" x14ac:dyDescent="0.2">
      <c r="A97" s="23"/>
      <c r="B97" s="78" t="s">
        <v>70</v>
      </c>
      <c r="C97" s="33"/>
      <c r="D97" s="11"/>
      <c r="E97" s="13"/>
      <c r="F97" s="14"/>
      <c r="G97" s="102"/>
      <c r="H97" s="5"/>
      <c r="I97" s="5"/>
      <c r="J97" s="6"/>
      <c r="K97" s="6"/>
    </row>
    <row r="98" spans="1:11" ht="25.5" x14ac:dyDescent="0.2">
      <c r="A98" s="23"/>
      <c r="B98" s="80" t="s">
        <v>71</v>
      </c>
      <c r="C98" s="33"/>
      <c r="D98" s="11"/>
      <c r="E98" s="13"/>
      <c r="F98" s="14"/>
      <c r="G98" s="102"/>
      <c r="H98" s="5"/>
      <c r="I98" s="5"/>
      <c r="J98" s="6"/>
      <c r="K98" s="6"/>
    </row>
    <row r="99" spans="1:11" x14ac:dyDescent="0.2">
      <c r="A99" s="23"/>
      <c r="B99" s="23"/>
      <c r="C99" s="20"/>
      <c r="D99" s="58"/>
      <c r="E99" s="51"/>
      <c r="F99" s="18"/>
      <c r="G99" s="102"/>
      <c r="H99" s="5"/>
      <c r="I99" s="5"/>
      <c r="J99" s="6"/>
      <c r="K99" s="6"/>
    </row>
    <row r="100" spans="1:11" x14ac:dyDescent="0.2">
      <c r="A100" s="23"/>
      <c r="B100" s="11" t="s">
        <v>72</v>
      </c>
      <c r="C100" s="33" t="s">
        <v>73</v>
      </c>
      <c r="D100" s="81">
        <f>D65</f>
        <v>1000</v>
      </c>
      <c r="E100" s="13" t="s">
        <v>40</v>
      </c>
      <c r="F100" s="14"/>
      <c r="G100" s="102"/>
      <c r="H100" s="5"/>
      <c r="I100" s="5"/>
      <c r="J100" s="6"/>
      <c r="K100" s="6"/>
    </row>
    <row r="101" spans="1:11" x14ac:dyDescent="0.2">
      <c r="A101" s="23"/>
      <c r="B101" s="11"/>
      <c r="C101" s="33" t="s">
        <v>74</v>
      </c>
      <c r="D101" s="81">
        <f>D63</f>
        <v>60</v>
      </c>
      <c r="E101" s="13" t="s">
        <v>4</v>
      </c>
      <c r="F101" s="14"/>
      <c r="G101" s="102"/>
      <c r="H101" s="5"/>
      <c r="I101" s="5"/>
      <c r="J101" s="6"/>
      <c r="K101" s="6"/>
    </row>
    <row r="102" spans="1:11" x14ac:dyDescent="0.2">
      <c r="A102" s="23"/>
      <c r="B102" s="23" t="s">
        <v>11</v>
      </c>
      <c r="C102" s="33" t="s">
        <v>75</v>
      </c>
      <c r="D102" s="81">
        <f>D58</f>
        <v>38.71</v>
      </c>
      <c r="E102" s="13" t="s">
        <v>12</v>
      </c>
      <c r="F102" s="14"/>
      <c r="G102" s="102"/>
      <c r="H102" s="5"/>
      <c r="I102" s="5"/>
      <c r="J102" s="6"/>
      <c r="K102" s="6"/>
    </row>
    <row r="103" spans="1:11" x14ac:dyDescent="0.2">
      <c r="A103" s="23"/>
      <c r="B103" s="23" t="s">
        <v>13</v>
      </c>
      <c r="C103" s="33" t="s">
        <v>76</v>
      </c>
      <c r="D103" s="81">
        <f>D60</f>
        <v>38.71</v>
      </c>
      <c r="E103" s="13" t="s">
        <v>12</v>
      </c>
      <c r="F103" s="14"/>
      <c r="G103" s="102"/>
      <c r="H103" s="5"/>
      <c r="I103" s="5"/>
      <c r="J103" s="6"/>
      <c r="K103" s="6"/>
    </row>
    <row r="104" spans="1:11" x14ac:dyDescent="0.2">
      <c r="A104" s="23"/>
      <c r="B104" s="11"/>
      <c r="C104" s="33"/>
      <c r="D104" s="11"/>
      <c r="E104" s="11"/>
      <c r="F104" s="14"/>
      <c r="G104" s="102"/>
      <c r="H104" s="5"/>
      <c r="I104" s="5"/>
      <c r="J104" s="6"/>
      <c r="K104" s="6"/>
    </row>
    <row r="105" spans="1:11" x14ac:dyDescent="0.2">
      <c r="A105" s="23"/>
      <c r="B105" s="11" t="s">
        <v>19</v>
      </c>
      <c r="C105" s="33" t="s">
        <v>77</v>
      </c>
      <c r="D105" s="82">
        <f>D69</f>
        <v>1296</v>
      </c>
      <c r="E105" s="13" t="s">
        <v>20</v>
      </c>
      <c r="F105" s="14"/>
      <c r="G105" s="102"/>
      <c r="H105" s="5"/>
      <c r="I105" s="161"/>
      <c r="J105" s="6"/>
      <c r="K105" s="6"/>
    </row>
    <row r="106" spans="1:11" ht="19.5" customHeight="1" x14ac:dyDescent="0.2">
      <c r="A106" s="23"/>
      <c r="B106" s="11" t="s">
        <v>191</v>
      </c>
      <c r="C106" s="33" t="s">
        <v>78</v>
      </c>
      <c r="D106" s="83">
        <v>385</v>
      </c>
      <c r="E106" s="13"/>
      <c r="F106" s="216" t="s">
        <v>192</v>
      </c>
      <c r="G106" s="102"/>
      <c r="H106" s="5"/>
      <c r="I106" s="5"/>
      <c r="J106" s="6"/>
      <c r="K106" s="6"/>
    </row>
    <row r="107" spans="1:11" x14ac:dyDescent="0.2">
      <c r="A107" s="23"/>
      <c r="B107" s="11" t="s">
        <v>132</v>
      </c>
      <c r="C107" s="33" t="s">
        <v>78</v>
      </c>
      <c r="D107" s="215">
        <f>D106*1000</f>
        <v>385000</v>
      </c>
      <c r="E107" s="13" t="s">
        <v>37</v>
      </c>
      <c r="F107" s="14" t="s">
        <v>79</v>
      </c>
      <c r="G107" s="102"/>
      <c r="H107" s="5"/>
      <c r="I107" s="5"/>
      <c r="J107" s="6"/>
      <c r="K107" s="6"/>
    </row>
    <row r="108" spans="1:11" x14ac:dyDescent="0.2">
      <c r="A108" s="23"/>
      <c r="B108" s="11" t="s">
        <v>130</v>
      </c>
      <c r="C108" s="33" t="s">
        <v>169</v>
      </c>
      <c r="D108" s="124">
        <v>7.4</v>
      </c>
      <c r="E108" s="13" t="s">
        <v>131</v>
      </c>
      <c r="F108" s="14" t="s">
        <v>168</v>
      </c>
      <c r="G108" s="102"/>
      <c r="H108" s="5"/>
      <c r="I108" s="5"/>
      <c r="J108" s="6"/>
      <c r="K108" s="6"/>
    </row>
    <row r="109" spans="1:11" x14ac:dyDescent="0.2">
      <c r="A109" s="23"/>
      <c r="B109" s="11" t="s">
        <v>193</v>
      </c>
      <c r="C109" s="33" t="s">
        <v>160</v>
      </c>
      <c r="D109" s="152">
        <v>3468</v>
      </c>
      <c r="E109" s="13" t="s">
        <v>37</v>
      </c>
      <c r="F109" s="14" t="s">
        <v>161</v>
      </c>
      <c r="G109" s="102"/>
      <c r="H109" s="5"/>
      <c r="I109" s="5"/>
      <c r="J109" s="6"/>
      <c r="K109" s="6"/>
    </row>
    <row r="110" spans="1:11" ht="14.25" x14ac:dyDescent="0.2">
      <c r="A110" s="23"/>
      <c r="B110" s="11" t="s">
        <v>80</v>
      </c>
      <c r="C110" s="33" t="s">
        <v>81</v>
      </c>
      <c r="D110" s="84">
        <f>(D109/2*1000)^2 *  PI()</f>
        <v>9446002560737.0313</v>
      </c>
      <c r="E110" s="13" t="s">
        <v>156</v>
      </c>
      <c r="F110" s="14" t="s">
        <v>200</v>
      </c>
      <c r="G110" s="102"/>
      <c r="H110" s="5"/>
      <c r="I110" s="5"/>
      <c r="J110" s="6"/>
      <c r="K110" s="6"/>
    </row>
    <row r="111" spans="1:11" ht="14.25" x14ac:dyDescent="0.2">
      <c r="A111" s="23"/>
      <c r="B111" s="11" t="s">
        <v>154</v>
      </c>
      <c r="C111" s="33" t="s">
        <v>155</v>
      </c>
      <c r="D111" s="84">
        <f>(1734*1000)^2 * D108/100 * PI()</f>
        <v>699004189494.54041</v>
      </c>
      <c r="E111" s="13" t="s">
        <v>156</v>
      </c>
      <c r="F111" s="14"/>
      <c r="G111" s="102"/>
      <c r="H111" s="5"/>
      <c r="I111" s="5"/>
      <c r="J111" s="6"/>
      <c r="K111" s="6"/>
    </row>
    <row r="112" spans="1:11" x14ac:dyDescent="0.2">
      <c r="A112" s="23"/>
      <c r="B112" s="78" t="s">
        <v>170</v>
      </c>
      <c r="C112" s="33"/>
      <c r="D112" s="85"/>
      <c r="E112" s="13"/>
      <c r="F112" s="14"/>
      <c r="G112" s="102"/>
      <c r="H112" s="5"/>
      <c r="I112" s="5"/>
      <c r="J112" s="6"/>
      <c r="K112" s="6"/>
    </row>
    <row r="113" spans="1:11" x14ac:dyDescent="0.2">
      <c r="A113" s="23"/>
      <c r="B113" s="78" t="s">
        <v>172</v>
      </c>
      <c r="C113" s="33"/>
      <c r="D113" s="85"/>
      <c r="E113" s="13"/>
      <c r="F113" s="14"/>
      <c r="G113" s="102"/>
      <c r="H113" s="5"/>
      <c r="I113" s="5"/>
      <c r="J113" s="6"/>
      <c r="K113" s="6"/>
    </row>
    <row r="114" spans="1:11" ht="28.5" customHeight="1" x14ac:dyDescent="0.2">
      <c r="A114" s="23"/>
      <c r="B114" s="223" t="s">
        <v>171</v>
      </c>
      <c r="C114" s="223"/>
      <c r="D114" s="223"/>
      <c r="E114" s="223"/>
      <c r="F114" s="223"/>
      <c r="G114" s="102"/>
      <c r="H114" s="5"/>
      <c r="I114" s="5"/>
      <c r="J114" s="6"/>
      <c r="K114" s="6"/>
    </row>
    <row r="115" spans="1:11" x14ac:dyDescent="0.2">
      <c r="A115" s="23"/>
      <c r="B115" s="11"/>
      <c r="C115" s="33"/>
      <c r="D115" s="81"/>
      <c r="E115" s="13"/>
      <c r="F115" s="14"/>
      <c r="G115" s="102"/>
      <c r="H115" s="5"/>
      <c r="I115" s="5"/>
      <c r="J115" s="6"/>
      <c r="K115" s="6"/>
    </row>
    <row r="116" spans="1:11" x14ac:dyDescent="0.2">
      <c r="A116" s="23"/>
      <c r="B116" s="11" t="s">
        <v>107</v>
      </c>
      <c r="C116" s="33" t="s">
        <v>82</v>
      </c>
      <c r="D116" s="81">
        <f>D101+D102+D103+10*LOG10(D111)-20*LOG10(D105)-40*LOG10(D107)-103.4</f>
        <v>-133.2057314239766</v>
      </c>
      <c r="E116" s="13" t="s">
        <v>4</v>
      </c>
      <c r="F116" s="86"/>
      <c r="G116" s="102"/>
      <c r="H116" s="5"/>
      <c r="I116" s="5"/>
      <c r="J116" s="6"/>
      <c r="K116" s="6"/>
    </row>
    <row r="117" spans="1:11" x14ac:dyDescent="0.2">
      <c r="A117" s="23"/>
      <c r="B117" s="11"/>
      <c r="C117" s="33"/>
      <c r="D117" s="83"/>
      <c r="E117" s="13"/>
      <c r="F117" s="14"/>
      <c r="G117" s="102"/>
      <c r="H117" s="5"/>
      <c r="I117" s="5"/>
      <c r="J117" s="6"/>
      <c r="K117" s="6"/>
    </row>
    <row r="118" spans="1:11" x14ac:dyDescent="0.2">
      <c r="A118" s="23"/>
      <c r="B118" s="11" t="s">
        <v>134</v>
      </c>
      <c r="C118" s="33" t="s">
        <v>135</v>
      </c>
      <c r="D118" s="146">
        <f>-10*LOG10(D111)+20*LOG10(D105)+40*LOG(D107)+103.4</f>
        <v>270.62573142397662</v>
      </c>
      <c r="E118" s="13" t="s">
        <v>6</v>
      </c>
      <c r="F118" s="14" t="s">
        <v>95</v>
      </c>
      <c r="G118" s="102"/>
      <c r="H118" s="5"/>
      <c r="I118" s="5"/>
      <c r="J118" s="6"/>
      <c r="K118" s="6"/>
    </row>
    <row r="119" spans="1:11" x14ac:dyDescent="0.2">
      <c r="A119" s="23"/>
      <c r="B119" s="11"/>
      <c r="C119" s="33"/>
      <c r="D119" s="87"/>
      <c r="E119" s="13"/>
      <c r="F119" s="14"/>
      <c r="G119" s="102"/>
      <c r="H119" s="5"/>
      <c r="I119" s="116"/>
      <c r="J119" s="6"/>
      <c r="K119" s="6"/>
    </row>
    <row r="120" spans="1:11" x14ac:dyDescent="0.2">
      <c r="A120" s="23"/>
      <c r="B120" s="11" t="s">
        <v>83</v>
      </c>
      <c r="C120" s="33" t="s">
        <v>119</v>
      </c>
      <c r="D120" s="115">
        <f>D52</f>
        <v>9.6469730918453107E-19</v>
      </c>
      <c r="E120" s="13" t="s">
        <v>40</v>
      </c>
      <c r="F120" s="14"/>
      <c r="G120" s="102"/>
      <c r="I120" s="114"/>
      <c r="J120" s="6"/>
      <c r="K120" s="6"/>
    </row>
    <row r="121" spans="1:11" x14ac:dyDescent="0.2">
      <c r="A121" s="23"/>
      <c r="B121" s="11"/>
      <c r="C121" s="33" t="s">
        <v>84</v>
      </c>
      <c r="D121" s="81">
        <f>10*LOG10(D120)</f>
        <v>-180.15608932845009</v>
      </c>
      <c r="E121" s="13" t="s">
        <v>16</v>
      </c>
      <c r="F121" s="14"/>
      <c r="G121" s="102"/>
      <c r="H121" s="5"/>
      <c r="I121" s="5"/>
      <c r="J121" s="6"/>
      <c r="K121" s="6"/>
    </row>
    <row r="122" spans="1:11" x14ac:dyDescent="0.2">
      <c r="A122" s="23"/>
      <c r="B122" s="11"/>
      <c r="C122" s="33" t="s">
        <v>85</v>
      </c>
      <c r="D122" s="81">
        <f>D121+30</f>
        <v>-150.15608932845009</v>
      </c>
      <c r="E122" s="13" t="s">
        <v>4</v>
      </c>
      <c r="F122" s="14"/>
      <c r="G122" s="102"/>
      <c r="H122" s="5"/>
      <c r="I122" s="5"/>
      <c r="J122" s="6"/>
      <c r="K122" s="6"/>
    </row>
    <row r="123" spans="1:11" x14ac:dyDescent="0.2">
      <c r="A123" s="23"/>
      <c r="B123" s="11"/>
      <c r="C123" s="33"/>
      <c r="D123" s="81"/>
      <c r="E123" s="13"/>
      <c r="F123" s="14"/>
      <c r="G123" s="102"/>
      <c r="H123" s="5"/>
      <c r="I123" s="5"/>
      <c r="J123" s="6"/>
      <c r="K123" s="6"/>
    </row>
    <row r="124" spans="1:11" x14ac:dyDescent="0.2">
      <c r="A124" s="23"/>
      <c r="B124" s="98" t="s">
        <v>96</v>
      </c>
      <c r="C124" s="33" t="s">
        <v>86</v>
      </c>
      <c r="D124" s="146">
        <f>D101-D118+D102+D103-D122</f>
        <v>16.950357904473492</v>
      </c>
      <c r="E124" s="13" t="s">
        <v>6</v>
      </c>
      <c r="F124" s="14" t="s">
        <v>88</v>
      </c>
      <c r="G124" s="102"/>
      <c r="H124" s="5"/>
      <c r="I124" s="5"/>
      <c r="J124" s="6"/>
      <c r="K124" s="6"/>
    </row>
    <row r="125" spans="1:11" x14ac:dyDescent="0.2">
      <c r="A125" s="23"/>
      <c r="B125" s="98"/>
      <c r="C125" s="121" t="s">
        <v>117</v>
      </c>
      <c r="D125" s="99">
        <f>D8</f>
        <v>-15</v>
      </c>
      <c r="E125" s="13" t="s">
        <v>6</v>
      </c>
      <c r="F125" s="14" t="s">
        <v>198</v>
      </c>
      <c r="G125" s="102"/>
      <c r="H125" s="5"/>
      <c r="I125" s="5"/>
      <c r="J125" s="6"/>
      <c r="K125" s="6"/>
    </row>
    <row r="126" spans="1:11" x14ac:dyDescent="0.2">
      <c r="A126" s="23"/>
      <c r="B126" s="23"/>
      <c r="C126" s="20" t="s">
        <v>118</v>
      </c>
      <c r="D126" s="145">
        <f>D124-D125</f>
        <v>31.950357904473492</v>
      </c>
      <c r="E126" s="22" t="s">
        <v>6</v>
      </c>
      <c r="F126" s="123" t="str">
        <f>IF(D126&gt;0,"Contact possible","NO contact possible")</f>
        <v>Contact possible</v>
      </c>
      <c r="G126" s="100"/>
    </row>
    <row r="127" spans="1:11" x14ac:dyDescent="0.2">
      <c r="A127" s="23"/>
      <c r="B127" s="23"/>
      <c r="C127" s="20"/>
      <c r="D127" s="122"/>
      <c r="E127" s="22"/>
      <c r="F127" s="123"/>
      <c r="G127" s="100"/>
    </row>
    <row r="128" spans="1:11" x14ac:dyDescent="0.2">
      <c r="A128" s="23"/>
      <c r="B128" s="23" t="s">
        <v>139</v>
      </c>
      <c r="C128" s="20"/>
      <c r="D128" s="122"/>
      <c r="E128" s="22"/>
      <c r="F128" s="123"/>
      <c r="G128" s="100"/>
    </row>
    <row r="129" spans="1:7" ht="45" x14ac:dyDescent="0.2">
      <c r="A129" s="23"/>
      <c r="B129" s="143" t="s">
        <v>194</v>
      </c>
      <c r="C129" s="20"/>
      <c r="D129" s="122"/>
      <c r="E129" s="22"/>
      <c r="F129" s="123"/>
      <c r="G129" s="100"/>
    </row>
    <row r="130" spans="1:7" x14ac:dyDescent="0.2">
      <c r="A130" s="23"/>
      <c r="B130" s="137"/>
      <c r="C130" s="20"/>
      <c r="D130" s="122"/>
      <c r="E130" s="22"/>
      <c r="F130" s="123"/>
      <c r="G130" s="100"/>
    </row>
    <row r="131" spans="1:7" x14ac:dyDescent="0.2">
      <c r="A131" s="23"/>
      <c r="B131" s="137" t="s">
        <v>149</v>
      </c>
      <c r="C131" s="20"/>
      <c r="D131" s="122"/>
      <c r="E131" s="22"/>
      <c r="F131" s="123"/>
      <c r="G131" s="100"/>
    </row>
    <row r="132" spans="1:7" ht="22.5" x14ac:dyDescent="0.2">
      <c r="A132" s="23"/>
      <c r="B132" s="143" t="s">
        <v>167</v>
      </c>
      <c r="C132" s="20"/>
      <c r="D132" s="107"/>
      <c r="E132" s="51"/>
      <c r="F132" s="18"/>
      <c r="G132" s="100"/>
    </row>
    <row r="133" spans="1:7" x14ac:dyDescent="0.2">
      <c r="A133" s="23"/>
      <c r="B133" s="143"/>
      <c r="C133" s="20"/>
      <c r="D133" s="107"/>
      <c r="E133" s="51"/>
      <c r="F133" s="18"/>
      <c r="G133" s="100"/>
    </row>
    <row r="134" spans="1:7" ht="47.25" customHeight="1" x14ac:dyDescent="0.2">
      <c r="A134" s="23"/>
      <c r="B134" s="232" t="s">
        <v>204</v>
      </c>
      <c r="C134" s="233"/>
      <c r="D134" s="233"/>
      <c r="E134" s="233"/>
      <c r="F134" s="233"/>
      <c r="G134" s="100"/>
    </row>
    <row r="135" spans="1:7" ht="15.75" customHeight="1" x14ac:dyDescent="0.2">
      <c r="A135" s="23"/>
      <c r="B135" s="230" t="s">
        <v>203</v>
      </c>
      <c r="C135" s="231"/>
      <c r="D135" s="231"/>
      <c r="E135" s="231"/>
      <c r="F135" s="231"/>
      <c r="G135" s="100"/>
    </row>
    <row r="136" spans="1:7" ht="23.25" customHeight="1" x14ac:dyDescent="0.2">
      <c r="A136" s="23"/>
      <c r="B136" s="232" t="s">
        <v>197</v>
      </c>
      <c r="C136" s="233"/>
      <c r="D136" s="233"/>
      <c r="E136" s="233"/>
      <c r="F136" s="233"/>
      <c r="G136" s="100"/>
    </row>
    <row r="137" spans="1:7" ht="12.75" customHeight="1" x14ac:dyDescent="0.2">
      <c r="A137" s="23"/>
      <c r="B137" s="232" t="s">
        <v>199</v>
      </c>
      <c r="C137" s="233"/>
      <c r="D137" s="233"/>
      <c r="E137" s="233"/>
      <c r="F137" s="233"/>
      <c r="G137" s="100"/>
    </row>
    <row r="138" spans="1:7" ht="22.5" customHeight="1" x14ac:dyDescent="0.2">
      <c r="A138" s="23"/>
      <c r="B138" s="232" t="s">
        <v>196</v>
      </c>
      <c r="C138" s="233"/>
      <c r="D138" s="233"/>
      <c r="E138" s="233"/>
      <c r="F138" s="233"/>
      <c r="G138" s="100"/>
    </row>
    <row r="139" spans="1:7" x14ac:dyDescent="0.2">
      <c r="A139" s="11"/>
      <c r="B139" s="11"/>
      <c r="C139" s="33"/>
      <c r="D139" s="11"/>
      <c r="E139" s="13"/>
      <c r="F139" s="14"/>
      <c r="G139" s="102"/>
    </row>
    <row r="140" spans="1:7" x14ac:dyDescent="0.2">
      <c r="A140" s="217" t="s">
        <v>159</v>
      </c>
      <c r="B140" s="218"/>
      <c r="C140" s="219" t="s">
        <v>162</v>
      </c>
      <c r="D140" s="222">
        <f>D3</f>
        <v>45436</v>
      </c>
      <c r="E140" s="220"/>
      <c r="F140" s="221"/>
      <c r="G140" s="100"/>
    </row>
    <row r="141" spans="1:7" x14ac:dyDescent="0.2">
      <c r="A141" s="153"/>
      <c r="B141" s="153"/>
      <c r="C141" s="154"/>
      <c r="D141" s="153"/>
      <c r="E141" s="155"/>
      <c r="F141" s="156"/>
      <c r="G141" s="100"/>
    </row>
    <row r="142" spans="1:7" x14ac:dyDescent="0.2">
      <c r="A142" s="153" t="s">
        <v>44</v>
      </c>
      <c r="B142" s="153"/>
      <c r="C142" s="154"/>
      <c r="D142" s="153"/>
      <c r="E142" s="155"/>
      <c r="F142" s="156"/>
      <c r="G142" s="100"/>
    </row>
    <row r="143" spans="1:7" x14ac:dyDescent="0.2">
      <c r="A143" s="157" t="s">
        <v>55</v>
      </c>
      <c r="B143" s="153" t="s">
        <v>45</v>
      </c>
      <c r="C143" s="154"/>
      <c r="D143" s="153"/>
      <c r="E143" s="155"/>
      <c r="F143" s="156"/>
      <c r="G143" s="100"/>
    </row>
    <row r="144" spans="1:7" x14ac:dyDescent="0.2">
      <c r="A144" s="157" t="s">
        <v>55</v>
      </c>
      <c r="B144" s="153" t="s">
        <v>46</v>
      </c>
      <c r="C144" s="154"/>
      <c r="D144" s="153"/>
      <c r="E144" s="155"/>
      <c r="F144" s="156"/>
      <c r="G144" s="100"/>
    </row>
    <row r="145" spans="1:7" x14ac:dyDescent="0.2">
      <c r="A145" s="157" t="s">
        <v>55</v>
      </c>
      <c r="B145" s="153" t="s">
        <v>165</v>
      </c>
      <c r="C145" s="154"/>
      <c r="D145" s="153"/>
      <c r="E145" s="155"/>
      <c r="F145" s="156"/>
      <c r="G145" s="100"/>
    </row>
    <row r="146" spans="1:7" x14ac:dyDescent="0.2">
      <c r="A146" s="157" t="s">
        <v>55</v>
      </c>
      <c r="B146" s="153" t="s">
        <v>166</v>
      </c>
      <c r="C146" s="154"/>
      <c r="D146" s="153"/>
      <c r="E146" s="155"/>
      <c r="F146" s="156"/>
      <c r="G146" s="100"/>
    </row>
    <row r="147" spans="1:7" x14ac:dyDescent="0.2">
      <c r="A147" s="157" t="s">
        <v>55</v>
      </c>
      <c r="B147" s="153" t="s">
        <v>163</v>
      </c>
      <c r="C147" s="154"/>
      <c r="D147" s="153"/>
      <c r="E147" s="155"/>
      <c r="F147" s="156"/>
      <c r="G147" s="100"/>
    </row>
    <row r="148" spans="1:7" x14ac:dyDescent="0.2">
      <c r="A148" s="63" t="s">
        <v>55</v>
      </c>
      <c r="B148" s="11" t="s">
        <v>164</v>
      </c>
      <c r="C148" s="33"/>
      <c r="D148" s="11"/>
      <c r="E148" s="13"/>
      <c r="F148" s="14"/>
      <c r="G148" s="100"/>
    </row>
    <row r="149" spans="1:7" x14ac:dyDescent="0.2">
      <c r="A149" s="63" t="s">
        <v>55</v>
      </c>
      <c r="B149" s="11" t="s">
        <v>178</v>
      </c>
      <c r="C149" s="33"/>
      <c r="D149" s="11"/>
      <c r="E149" s="13"/>
      <c r="F149" s="14"/>
      <c r="G149" s="100"/>
    </row>
    <row r="150" spans="1:7" x14ac:dyDescent="0.2">
      <c r="A150" s="63" t="s">
        <v>55</v>
      </c>
      <c r="B150" s="11" t="s">
        <v>190</v>
      </c>
      <c r="C150" s="33"/>
      <c r="D150" s="11"/>
      <c r="E150" s="13"/>
      <c r="F150" s="14"/>
      <c r="G150" s="100"/>
    </row>
    <row r="151" spans="1:7" x14ac:dyDescent="0.2">
      <c r="A151" s="63"/>
      <c r="B151" s="11"/>
      <c r="C151" s="33"/>
      <c r="D151" s="11"/>
      <c r="E151" s="13"/>
      <c r="F151" s="14"/>
      <c r="G151" s="100"/>
    </row>
    <row r="152" spans="1:7" x14ac:dyDescent="0.2">
      <c r="A152" s="100"/>
      <c r="B152" s="100"/>
      <c r="C152" s="158"/>
      <c r="D152" s="100"/>
      <c r="E152" s="159"/>
      <c r="F152" s="160"/>
      <c r="G152" s="100"/>
    </row>
  </sheetData>
  <customSheetViews>
    <customSheetView guid="{209C2144-7460-4073-9756-C9E8CE15B130}" scale="120" topLeftCell="A25">
      <selection sqref="A1:F63"/>
    </customSheetView>
  </customSheetViews>
  <mergeCells count="7">
    <mergeCell ref="B114:F114"/>
    <mergeCell ref="I44:N47"/>
    <mergeCell ref="B135:F135"/>
    <mergeCell ref="B138:F138"/>
    <mergeCell ref="B136:F136"/>
    <mergeCell ref="B134:F134"/>
    <mergeCell ref="B137:F137"/>
  </mergeCells>
  <pageMargins left="0.78740157499999996" right="0.78740157499999996" top="0.984251969" bottom="0.984251969" header="0.4921259845" footer="0.4921259845"/>
  <pageSetup paperSize="9" scale="86" orientation="portrait" r:id="rId1"/>
  <headerFooter alignWithMargins="0">
    <oddHeader>&amp;A</oddHeader>
    <oddFooter>Seite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Scroll Bar 2">
              <controlPr defaultSize="0" autoPict="0">
                <anchor moveWithCells="1">
                  <from>
                    <xdr:col>3</xdr:col>
                    <xdr:colOff>28575</xdr:colOff>
                    <xdr:row>105</xdr:row>
                    <xdr:rowOff>47625</xdr:rowOff>
                  </from>
                  <to>
                    <xdr:col>5</xdr:col>
                    <xdr:colOff>9525</xdr:colOff>
                    <xdr:row>106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DF9CY Moonbouce PL</vt:lpstr>
    </vt:vector>
  </TitlesOfParts>
  <Company>Hagenuk Telecom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Petermann</dc:creator>
  <cp:lastModifiedBy>Petermac</cp:lastModifiedBy>
  <cp:lastPrinted>2022-11-09T10:27:48Z</cp:lastPrinted>
  <dcterms:created xsi:type="dcterms:W3CDTF">1996-11-21T09:54:34Z</dcterms:created>
  <dcterms:modified xsi:type="dcterms:W3CDTF">2024-05-24T07:41:07Z</dcterms:modified>
</cp:coreProperties>
</file>